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4000" windowHeight="9045" firstSheet="1" activeTab="4"/>
  </bookViews>
  <sheets>
    <sheet name="Skoda Quest" sheetId="82" r:id="rId1"/>
    <sheet name="Общее" sheetId="26" r:id="rId2"/>
    <sheet name="Маршрутный лист" sheetId="9" r:id="rId3"/>
    <sheet name="Результаты" sheetId="8" r:id="rId4"/>
    <sheet name="Результаты печать" sheetId="109" r:id="rId5"/>
    <sheet name="КВЕСТ" sheetId="108" r:id="rId6"/>
    <sheet name="Стартовая ведомость" sheetId="47" r:id="rId7"/>
    <sheet name="ДС-1 РД" sheetId="86" r:id="rId8"/>
    <sheet name="ДС-3 РД" sheetId="64" r:id="rId9"/>
    <sheet name="Контрольная карта" sheetId="7" r:id="rId10"/>
    <sheet name="ДК титул Про" sheetId="60" r:id="rId11"/>
    <sheet name="Легенда Про" sheetId="40" r:id="rId12"/>
    <sheet name="Сектор 0-1 Про ч1" sheetId="58" r:id="rId13"/>
    <sheet name="Сектор 0-1 Про ч2" sheetId="89" r:id="rId14"/>
    <sheet name="Сектор 0-1 Про ч3" sheetId="88" r:id="rId15"/>
    <sheet name="Сектор 1-2 Про" sheetId="53" r:id="rId16"/>
    <sheet name="Сектор 2-3 Про" sheetId="59" r:id="rId17"/>
    <sheet name="Сектор 3-4 Про" sheetId="87" r:id="rId18"/>
    <sheet name="ДК титул лайт" sheetId="39" r:id="rId19"/>
    <sheet name="Легенда Лайт" sheetId="69" r:id="rId20"/>
    <sheet name="Сектор 0-1 Лайт ч1" sheetId="104" r:id="rId21"/>
    <sheet name="Сектор 0-1 Лайт ч2" sheetId="92" r:id="rId22"/>
    <sheet name="Сектор 0-1 Лайт ч3" sheetId="105" r:id="rId23"/>
    <sheet name="Сектор 1-2 Лайт" sheetId="106" r:id="rId24"/>
    <sheet name="Сектор 2-3 Лайт" sheetId="93" r:id="rId25"/>
    <sheet name="Сектор 3-4 Лайт" sheetId="107" r:id="rId26"/>
    <sheet name="Заявка" sheetId="34" r:id="rId27"/>
    <sheet name="Заявки А3" sheetId="45" r:id="rId28"/>
    <sheet name="ш_ТИ" sheetId="81" r:id="rId29"/>
    <sheet name="ш_КВ_старт" sheetId="80" r:id="rId30"/>
    <sheet name="ш_РУ_РД_стБО" sheetId="75" r:id="rId31"/>
    <sheet name="ш_РУ_РД_ф" sheetId="76" r:id="rId32"/>
    <sheet name="ш_РУ_РД_стО" sheetId="74" r:id="rId33"/>
    <sheet name="ш_РУ_РД_ф_2" sheetId="90" r:id="rId34"/>
    <sheet name="ш_КВ_ВКВ_ВКП" sheetId="91" r:id="rId35"/>
    <sheet name="ш_РУ_РД_стО_2" sheetId="83" r:id="rId36"/>
    <sheet name="ш_РУ_РД_ф_3" sheetId="85" r:id="rId37"/>
    <sheet name="ш_КВ_ВКВ_ВКП_2" sheetId="78" r:id="rId38"/>
    <sheet name="ш_СЛ_без приб" sheetId="95" r:id="rId39"/>
    <sheet name="ш_СЛ" sheetId="77" r:id="rId40"/>
    <sheet name="пСекр" sheetId="96" r:id="rId41"/>
    <sheet name="пКВ0" sheetId="97" r:id="rId42"/>
    <sheet name="пКВ1ДС1РДст" sheetId="99" r:id="rId43"/>
    <sheet name="пДС1РДф" sheetId="100" r:id="rId44"/>
    <sheet name="пКВ1ДС2РУст" sheetId="98" r:id="rId45"/>
    <sheet name="пДс2РУф" sheetId="101" r:id="rId46"/>
    <sheet name="пКВ2" sheetId="102" r:id="rId47"/>
    <sheet name="пДС3РДф" sheetId="103" r:id="rId48"/>
  </sheets>
  <definedNames>
    <definedName name="ВКВ1">'Маршрутный лист'!$A$16</definedName>
    <definedName name="ВКВ2">'Маршрутный лист'!$A$17</definedName>
    <definedName name="ВремяВсего">'Маршрутный лист'!$E$18</definedName>
    <definedName name="ВремяЗакрытияПостов">Общее!$B$6</definedName>
    <definedName name="ВремяОткрытияПостов">Общее!$B$5</definedName>
    <definedName name="ВремяСтарта">Общее!$B$7</definedName>
    <definedName name="ДатаРалли">Общее!$B$3</definedName>
    <definedName name="ДС1">'Маршрутный лист'!$A$8</definedName>
    <definedName name="ДС1Время">'ДС-1 РД'!$I$11</definedName>
    <definedName name="ДС2">'Маршрутный лист'!$A$10</definedName>
    <definedName name="ДС2Время">'Маршрутный лист'!$I$10</definedName>
    <definedName name="ДС2ВремяМин">'Маршрутный лист'!$L$10</definedName>
    <definedName name="ДС3">'Маршрутный лист'!$A$13</definedName>
    <definedName name="ДС3Время">'ДС-3 РД'!$I$15</definedName>
    <definedName name="ДС4">'Маршрутный лист'!$A$15</definedName>
    <definedName name="_xlnm.Print_Titles" localSheetId="0">'Skoda Quest'!$1:$3</definedName>
    <definedName name="_xlnm.Print_Titles" localSheetId="27">'Заявки А3'!$1:$4</definedName>
    <definedName name="_xlnm.Print_Titles" localSheetId="3">Результаты!$B:$C</definedName>
    <definedName name="_xlnm.Print_Titles" localSheetId="4">'Результаты печать'!$B:$C</definedName>
    <definedName name="_xlnm.Print_Titles" localSheetId="20">'Сектор 0-1 Лайт ч1'!$1:$4</definedName>
    <definedName name="_xlnm.Print_Titles" localSheetId="21">'Сектор 0-1 Лайт ч2'!$1:$3</definedName>
    <definedName name="_xlnm.Print_Titles" localSheetId="22">'Сектор 0-1 Лайт ч3'!$1:$4</definedName>
    <definedName name="_xlnm.Print_Titles" localSheetId="12">'Сектор 0-1 Про ч1'!$1:$4</definedName>
    <definedName name="_xlnm.Print_Titles" localSheetId="13">'Сектор 0-1 Про ч2'!$1:$3</definedName>
    <definedName name="_xlnm.Print_Titles" localSheetId="14">'Сектор 0-1 Про ч3'!$1:$4</definedName>
    <definedName name="_xlnm.Print_Titles" localSheetId="23">'Сектор 1-2 Лайт'!$1:$4</definedName>
    <definedName name="_xlnm.Print_Titles" localSheetId="15">'Сектор 1-2 Про'!$1:$4</definedName>
    <definedName name="_xlnm.Print_Titles" localSheetId="24">'Сектор 2-3 Лайт'!$1:$4</definedName>
    <definedName name="_xlnm.Print_Titles" localSheetId="16">'Сектор 2-3 Про'!$1:$4</definedName>
    <definedName name="_xlnm.Print_Titles" localSheetId="25">'Сектор 3-4 Лайт'!$1:$4</definedName>
    <definedName name="_xlnm.Print_Titles" localSheetId="17">'Сектор 3-4 Про'!$1:$4</definedName>
    <definedName name="_xlnm.Print_Titles" localSheetId="6">'Стартовая ведомость'!$1:$4</definedName>
    <definedName name="_xlnm.Print_Titles" localSheetId="34">ш_КВ_ВКВ_ВКП!$1:$8</definedName>
    <definedName name="_xlnm.Print_Titles" localSheetId="37">ш_КВ_ВКВ_ВКП_2!$1:$8</definedName>
    <definedName name="_xlnm.Print_Titles" localSheetId="29">ш_КВ_старт!$1:$8</definedName>
    <definedName name="_xlnm.Print_Titles" localSheetId="30">ш_РУ_РД_стБО!$1:$8</definedName>
    <definedName name="_xlnm.Print_Titles" localSheetId="32">ш_РУ_РД_стО!$1:$8</definedName>
    <definedName name="_xlnm.Print_Titles" localSheetId="35">ш_РУ_РД_стО_2!$1:$8</definedName>
    <definedName name="_xlnm.Print_Titles" localSheetId="31">ш_РУ_РД_ф!$1:$8</definedName>
    <definedName name="_xlnm.Print_Titles" localSheetId="33">ш_РУ_РД_ф_2!$1:$8</definedName>
    <definedName name="_xlnm.Print_Titles" localSheetId="36">ш_РУ_РД_ф_3!$1:$8</definedName>
    <definedName name="_xlnm.Print_Titles" localSheetId="39">ш_СЛ!$1:$8</definedName>
    <definedName name="_xlnm.Print_Titles" localSheetId="38">'ш_СЛ_без приб'!$1:$8</definedName>
    <definedName name="_xlnm.Print_Titles" localSheetId="28">ш_ТИ!$1:$8</definedName>
    <definedName name="ЗадержкаНаКВ">Общее!$B$8</definedName>
    <definedName name="КВ0">'Маршрутный лист'!$A$7</definedName>
    <definedName name="КВ1">'Маршрутный лист'!$A$9</definedName>
    <definedName name="КВ1Время">'Маршрутный лист'!$E$9</definedName>
    <definedName name="КВ1Расстояние">'Маршрутный лист'!$D$9</definedName>
    <definedName name="КВ1Скорость">'Маршрутный лист'!$F$9</definedName>
    <definedName name="КВ2">'Маршрутный лист'!$A$11</definedName>
    <definedName name="КВ2Время">'Маршрутный лист'!$E$11</definedName>
    <definedName name="КВ2Расстояние">'Маршрутный лист'!$D$11</definedName>
    <definedName name="КВ2Скорость">'Маршрутный лист'!$F$11</definedName>
    <definedName name="КВ3">'Маршрутный лист'!$A$12</definedName>
    <definedName name="КВ3Время">'Маршрутный лист'!$E$12</definedName>
    <definedName name="КВ3Расстояние">'Маршрутный лист'!$D$12</definedName>
    <definedName name="КВ3Скорость">'Маршрутный лист'!$F$12</definedName>
    <definedName name="КВ4">'Маршрутный лист'!$A$14</definedName>
    <definedName name="КВ4Время">'Маршрутный лист'!$E$14</definedName>
    <definedName name="КВ4Расстояние">'Маршрутный лист'!$D$14</definedName>
    <definedName name="КВ4Скорость">'Маршрутный лист'!$F$14</definedName>
    <definedName name="НазваниеКраткое">Общее!$B$2</definedName>
    <definedName name="НазваниеПолное">Общее!$B$1</definedName>
    <definedName name="_xlnm.Print_Area" localSheetId="0">'Skoda Quest'!$A$1:$G$22</definedName>
    <definedName name="_xlnm.Print_Area" localSheetId="10">'ДК титул Про'!$A$1:$J$51</definedName>
    <definedName name="_xlnm.Print_Area" localSheetId="5">КВЕСТ!$A$1:$F$44</definedName>
    <definedName name="_xlnm.Print_Area" localSheetId="2">'Маршрутный лист'!$A$1:$J$31</definedName>
    <definedName name="_xlnm.Print_Area" localSheetId="43">пДС1РДф!$A$1:$A$32</definedName>
    <definedName name="_xlnm.Print_Area" localSheetId="45">пДс2РУф!$A$1:$A$32</definedName>
    <definedName name="_xlnm.Print_Area" localSheetId="47">пДС3РДф!$A$1:$A$42</definedName>
    <definedName name="_xlnm.Print_Area" localSheetId="42">пКВ1ДС1РДст!$A$1:$A$33</definedName>
    <definedName name="_xlnm.Print_Area" localSheetId="44">пКВ1ДС2РУст!$A$1:$A$36</definedName>
    <definedName name="_xlnm.Print_Area" localSheetId="46">пКВ2!$A$1:$A$40</definedName>
    <definedName name="_xlnm.Print_Area" localSheetId="3">Результаты!$B$1:$CF$25</definedName>
    <definedName name="_xlnm.Print_Area" localSheetId="4">'Результаты печать'!$A$1:$CF$25</definedName>
    <definedName name="_xlnm.Print_Area" localSheetId="20">'Сектор 0-1 Лайт ч1'!$A$1:$G$9</definedName>
    <definedName name="_xlnm.Print_Area" localSheetId="21">'Сектор 0-1 Лайт ч2'!$A$1:$D$9</definedName>
    <definedName name="_xlnm.Print_Area" localSheetId="22">'Сектор 0-1 Лайт ч3'!$A$1:$G$14</definedName>
    <definedName name="_xlnm.Print_Area" localSheetId="12">'Сектор 0-1 Про ч1'!$A$1:$G$9</definedName>
    <definedName name="_xlnm.Print_Area" localSheetId="13">'Сектор 0-1 Про ч2'!$A$1:$D$9</definedName>
    <definedName name="_xlnm.Print_Area" localSheetId="14">'Сектор 0-1 Про ч3'!$A$1:$G$14</definedName>
    <definedName name="_xlnm.Print_Area" localSheetId="24">'Сектор 2-3 Лайт'!$A$1:$G$15</definedName>
    <definedName name="_xlnm.Print_Area" localSheetId="16">'Сектор 2-3 Про'!$A$1:$G$15</definedName>
    <definedName name="_xlnm.Print_Area" localSheetId="34">ш_КВ_ВКВ_ВКП!$A$1:$Y$128</definedName>
    <definedName name="_xlnm.Print_Area" localSheetId="37">ш_КВ_ВКВ_ВКП_2!$A$1:$Y$128</definedName>
    <definedName name="_xlnm.Print_Area" localSheetId="29">ш_КВ_старт!$A$1:$Y$128</definedName>
    <definedName name="_xlnm.Print_Area" localSheetId="30">ш_РУ_РД_стБО!$A$1:$Y$128</definedName>
    <definedName name="_xlnm.Print_Area" localSheetId="32">ш_РУ_РД_стО!$A$1:$Y$128</definedName>
    <definedName name="_xlnm.Print_Area" localSheetId="35">ш_РУ_РД_стО_2!$A$1:$Y$128</definedName>
    <definedName name="_xlnm.Print_Area" localSheetId="31">ш_РУ_РД_ф!$A$1:$Y$128</definedName>
    <definedName name="_xlnm.Print_Area" localSheetId="33">ш_РУ_РД_ф_2!$A$1:$Y$128</definedName>
    <definedName name="_xlnm.Print_Area" localSheetId="36">ш_РУ_РД_ф_3!$A$1:$Y$128</definedName>
    <definedName name="_xlnm.Print_Area" localSheetId="39">ш_СЛ!$A$1:$Y$128</definedName>
    <definedName name="_xlnm.Print_Area" localSheetId="38">'ш_СЛ_без приб'!$A$1:$Y$128</definedName>
    <definedName name="_xlnm.Print_Area" localSheetId="28">ш_ТИ!$A$1:$Y$128</definedName>
    <definedName name="РасстояниеВсего">'Маршрутный лист'!$D$18</definedName>
    <definedName name="СЛКоэффициент">Общее!$B$46</definedName>
    <definedName name="ТИ0">'Маршрутный лист'!$A$6</definedName>
    <definedName name="ЧислоЭкипажей">Общее!$B$4</definedName>
    <definedName name="ШтрафБуква">Общее!$B$37</definedName>
    <definedName name="ШтрафВскрытыйКонверт">Общее!$B$34</definedName>
    <definedName name="ШтрафНеостановкаБазойНаСЛ">Общее!$B$49</definedName>
    <definedName name="ШтрафОпережениеНаВКВ">Общее!$B$35</definedName>
    <definedName name="ШтрафОпережениеНаКВ">Общее!$B$31</definedName>
    <definedName name="ШтрафОпережениеНаРУ">Общее!$B$44</definedName>
    <definedName name="ШтрафОпережениеОтставаниеНаРД">Общее!$B$43</definedName>
    <definedName name="ШтрафОпозданиеНаКВ">Общее!$B$30</definedName>
    <definedName name="ШтрафОтставаниеНаРУ">Общее!$B$45</definedName>
    <definedName name="ШтрафОтсутсвиеОтметкиНаВКВ">Общее!$B$36</definedName>
    <definedName name="ШтрафПроездСЛНеПоСхеме">Общее!$B$47</definedName>
    <definedName name="ШтрафПропускДС">Общее!$B$33</definedName>
    <definedName name="ШтрафПропускКВ">Общее!$B$32</definedName>
    <definedName name="ШтрафПропускКП">Общее!$B$38</definedName>
    <definedName name="ШтрафПропускФКП">Общее!$B$38</definedName>
    <definedName name="ШтрафСбитыйКонусНаСЛ">Общее!$B$48</definedName>
    <definedName name="ШтрафФальстартНаДС">Общее!$B$42</definedName>
  </definedNames>
  <calcPr calcId="145621"/>
</workbook>
</file>

<file path=xl/calcChain.xml><?xml version="1.0" encoding="utf-8"?>
<calcChain xmlns="http://schemas.openxmlformats.org/spreadsheetml/2006/main">
  <c r="CW10" i="109" l="1"/>
  <c r="CW7" i="109"/>
  <c r="CW6" i="109"/>
  <c r="CW8" i="109"/>
  <c r="CW9" i="109"/>
  <c r="CW11" i="109"/>
  <c r="CW12" i="109"/>
  <c r="CW13" i="109"/>
  <c r="CW14" i="109"/>
  <c r="CW15" i="109"/>
  <c r="CW16" i="109"/>
  <c r="CW17" i="109"/>
  <c r="CW18" i="109"/>
  <c r="CW19" i="109"/>
  <c r="CW20" i="109"/>
  <c r="CW21" i="109"/>
  <c r="CW22" i="109"/>
  <c r="CW23" i="109"/>
  <c r="CW24" i="109"/>
  <c r="CW25" i="109"/>
  <c r="CW5" i="109"/>
  <c r="CS6" i="109"/>
  <c r="CS7" i="109"/>
  <c r="CS8" i="109"/>
  <c r="CS9" i="109"/>
  <c r="CS10" i="109"/>
  <c r="CS11" i="109"/>
  <c r="CS12" i="109"/>
  <c r="CS13" i="109"/>
  <c r="CS14" i="109"/>
  <c r="CS15" i="109"/>
  <c r="CS16" i="109"/>
  <c r="CS17" i="109"/>
  <c r="CS18" i="109"/>
  <c r="CS19" i="109"/>
  <c r="CS20" i="109"/>
  <c r="CS21" i="109"/>
  <c r="CS22" i="109"/>
  <c r="CS23" i="109"/>
  <c r="CS24" i="109"/>
  <c r="CS25" i="109"/>
  <c r="CS5" i="109"/>
  <c r="A22" i="109"/>
  <c r="A23" i="109"/>
  <c r="A24" i="109" s="1"/>
  <c r="A25" i="109" s="1"/>
  <c r="A7" i="109"/>
  <c r="A8" i="109" s="1"/>
  <c r="A9" i="109" s="1"/>
  <c r="A10" i="109" s="1"/>
  <c r="A11" i="109" s="1"/>
  <c r="A12" i="109" s="1"/>
  <c r="A13" i="109" s="1"/>
  <c r="A14" i="109" s="1"/>
  <c r="A15" i="109" s="1"/>
  <c r="A16" i="109" s="1"/>
  <c r="A17" i="109" s="1"/>
  <c r="A18" i="109" s="1"/>
  <c r="A19" i="109" s="1"/>
  <c r="A21" i="109"/>
  <c r="A6" i="109"/>
  <c r="CE26" i="109"/>
  <c r="CC26" i="109"/>
  <c r="BL26" i="109"/>
  <c r="BH26" i="109"/>
  <c r="BC26" i="109"/>
  <c r="AX26" i="109"/>
  <c r="AO26" i="109"/>
  <c r="AK26" i="109"/>
  <c r="AD26" i="109"/>
  <c r="X26" i="109"/>
  <c r="R26" i="109"/>
  <c r="CK19" i="109"/>
  <c r="CJ19" i="109"/>
  <c r="CF19" i="109"/>
  <c r="CD19" i="109"/>
  <c r="BU19" i="109"/>
  <c r="BR19" i="109"/>
  <c r="BO19" i="109"/>
  <c r="BJ19" i="109"/>
  <c r="BK19" i="109" s="1"/>
  <c r="BM19" i="109" s="1"/>
  <c r="BI19" i="109"/>
  <c r="BD19" i="109"/>
  <c r="BF19" i="109" s="1"/>
  <c r="BB19" i="109"/>
  <c r="AZ19" i="109"/>
  <c r="AY19" i="109"/>
  <c r="AQ19" i="109"/>
  <c r="AR19" i="109" s="1"/>
  <c r="AT19" i="109" s="1"/>
  <c r="AV19" i="109" s="1"/>
  <c r="AP19" i="109"/>
  <c r="P19" i="109" s="1"/>
  <c r="AJ19" i="109"/>
  <c r="AG19" i="109"/>
  <c r="AF19" i="109"/>
  <c r="AE19" i="109"/>
  <c r="AA19" i="109"/>
  <c r="Z19" i="109"/>
  <c r="Y19" i="109"/>
  <c r="U19" i="109"/>
  <c r="W19" i="109" s="1"/>
  <c r="AC19" i="109" s="1"/>
  <c r="AI19" i="109" s="1"/>
  <c r="O19" i="109"/>
  <c r="Q19" i="109" s="1"/>
  <c r="N19" i="109"/>
  <c r="CF21" i="109"/>
  <c r="CD21" i="109"/>
  <c r="BU21" i="109"/>
  <c r="BZ21" i="109" s="1"/>
  <c r="BR21" i="109"/>
  <c r="BK21" i="109"/>
  <c r="BM21" i="109" s="1"/>
  <c r="BO21" i="109" s="1"/>
  <c r="BJ21" i="109"/>
  <c r="BI21" i="109"/>
  <c r="BB21" i="109"/>
  <c r="BD21" i="109" s="1"/>
  <c r="AZ21" i="109"/>
  <c r="AY21" i="109"/>
  <c r="AQ21" i="109"/>
  <c r="AR21" i="109" s="1"/>
  <c r="AT21" i="109" s="1"/>
  <c r="AV21" i="109" s="1"/>
  <c r="AP21" i="109"/>
  <c r="AG21" i="109"/>
  <c r="AA21" i="109"/>
  <c r="AC21" i="109" s="1"/>
  <c r="U21" i="109"/>
  <c r="W21" i="109" s="1"/>
  <c r="P21" i="109"/>
  <c r="O21" i="109"/>
  <c r="Q21" i="109" s="1"/>
  <c r="N21" i="109"/>
  <c r="CK25" i="109"/>
  <c r="CJ25" i="109"/>
  <c r="CF25" i="109"/>
  <c r="CD25" i="109"/>
  <c r="BU25" i="109"/>
  <c r="BZ25" i="109" s="1"/>
  <c r="BR25" i="109"/>
  <c r="BO25" i="109"/>
  <c r="BJ25" i="109"/>
  <c r="BK25" i="109" s="1"/>
  <c r="BM25" i="109" s="1"/>
  <c r="BI25" i="109"/>
  <c r="BB25" i="109"/>
  <c r="BD25" i="109" s="1"/>
  <c r="BF25" i="109" s="1"/>
  <c r="AZ25" i="109"/>
  <c r="AY25" i="109"/>
  <c r="AQ25" i="109"/>
  <c r="AR25" i="109" s="1"/>
  <c r="AT25" i="109" s="1"/>
  <c r="AV25" i="109" s="1"/>
  <c r="AP25" i="109"/>
  <c r="AJ25" i="109"/>
  <c r="AG25" i="109"/>
  <c r="AF25" i="109"/>
  <c r="AE25" i="109"/>
  <c r="AA25" i="109"/>
  <c r="AC25" i="109" s="1"/>
  <c r="AI25" i="109" s="1"/>
  <c r="U25" i="109"/>
  <c r="W25" i="109" s="1"/>
  <c r="Y25" i="109" s="1"/>
  <c r="P25" i="109"/>
  <c r="O25" i="109"/>
  <c r="Q25" i="109" s="1"/>
  <c r="S25" i="109" s="1"/>
  <c r="N25" i="109"/>
  <c r="CK24" i="109"/>
  <c r="CL24" i="109" s="1"/>
  <c r="CJ24" i="109"/>
  <c r="CF24" i="109"/>
  <c r="CD24" i="109"/>
  <c r="BU24" i="109"/>
  <c r="BZ24" i="109" s="1"/>
  <c r="BR24" i="109"/>
  <c r="BJ24" i="109"/>
  <c r="BK24" i="109" s="1"/>
  <c r="BM24" i="109" s="1"/>
  <c r="BO24" i="109" s="1"/>
  <c r="BI24" i="109"/>
  <c r="BB24" i="109"/>
  <c r="BD24" i="109" s="1"/>
  <c r="BF24" i="109" s="1"/>
  <c r="AZ24" i="109"/>
  <c r="AY24" i="109"/>
  <c r="AQ24" i="109"/>
  <c r="AR24" i="109" s="1"/>
  <c r="AT24" i="109" s="1"/>
  <c r="AV24" i="109" s="1"/>
  <c r="AP24" i="109"/>
  <c r="P24" i="109" s="1"/>
  <c r="AG24" i="109"/>
  <c r="AA24" i="109"/>
  <c r="AC24" i="109" s="1"/>
  <c r="U24" i="109"/>
  <c r="W24" i="109" s="1"/>
  <c r="O24" i="109"/>
  <c r="Q24" i="109" s="1"/>
  <c r="N24" i="109"/>
  <c r="CK20" i="109"/>
  <c r="CJ20" i="109"/>
  <c r="CF20" i="109"/>
  <c r="CD20" i="109"/>
  <c r="BZ20" i="109"/>
  <c r="BU20" i="109"/>
  <c r="BR20" i="109"/>
  <c r="BJ20" i="109"/>
  <c r="BK20" i="109" s="1"/>
  <c r="BM20" i="109" s="1"/>
  <c r="BO20" i="109" s="1"/>
  <c r="BI20" i="109"/>
  <c r="BB20" i="109"/>
  <c r="BD20" i="109" s="1"/>
  <c r="BF20" i="109" s="1"/>
  <c r="AZ20" i="109"/>
  <c r="AY20" i="109"/>
  <c r="AQ20" i="109"/>
  <c r="AR20" i="109" s="1"/>
  <c r="AT20" i="109" s="1"/>
  <c r="AV20" i="109" s="1"/>
  <c r="AP20" i="109"/>
  <c r="AJ20" i="109"/>
  <c r="AG20" i="109"/>
  <c r="AI20" i="109" s="1"/>
  <c r="AE20" i="109"/>
  <c r="AA20" i="109"/>
  <c r="AC20" i="109" s="1"/>
  <c r="U20" i="109"/>
  <c r="W20" i="109" s="1"/>
  <c r="P20" i="109"/>
  <c r="O20" i="109"/>
  <c r="Q20" i="109" s="1"/>
  <c r="N20" i="109"/>
  <c r="CM22" i="109"/>
  <c r="CP22" i="109" s="1"/>
  <c r="CQ22" i="109" s="1"/>
  <c r="CK22" i="109"/>
  <c r="CL22" i="109" s="1"/>
  <c r="CJ22" i="109"/>
  <c r="CF22" i="109"/>
  <c r="CD22" i="109"/>
  <c r="BU22" i="109"/>
  <c r="BZ22" i="109" s="1"/>
  <c r="BR22" i="109"/>
  <c r="BJ22" i="109"/>
  <c r="BK22" i="109" s="1"/>
  <c r="BM22" i="109" s="1"/>
  <c r="BO22" i="109" s="1"/>
  <c r="BI22" i="109"/>
  <c r="BB22" i="109"/>
  <c r="BD22" i="109" s="1"/>
  <c r="BF22" i="109" s="1"/>
  <c r="AZ22" i="109"/>
  <c r="AY22" i="109"/>
  <c r="AQ22" i="109"/>
  <c r="AR22" i="109" s="1"/>
  <c r="AT22" i="109" s="1"/>
  <c r="AV22" i="109" s="1"/>
  <c r="AP22" i="109"/>
  <c r="AG22" i="109"/>
  <c r="AA22" i="109"/>
  <c r="AC22" i="109" s="1"/>
  <c r="U22" i="109"/>
  <c r="W22" i="109" s="1"/>
  <c r="Q22" i="109"/>
  <c r="P22" i="109"/>
  <c r="O22" i="109"/>
  <c r="N22" i="109"/>
  <c r="CK23" i="109"/>
  <c r="CJ23" i="109"/>
  <c r="CF23" i="109"/>
  <c r="CD23" i="109"/>
  <c r="BU23" i="109"/>
  <c r="BZ23" i="109" s="1"/>
  <c r="BR23" i="109"/>
  <c r="BJ23" i="109"/>
  <c r="BK23" i="109" s="1"/>
  <c r="BM23" i="109" s="1"/>
  <c r="BO23" i="109" s="1"/>
  <c r="BI23" i="109"/>
  <c r="BB23" i="109"/>
  <c r="BD23" i="109" s="1"/>
  <c r="AZ23" i="109"/>
  <c r="AY23" i="109"/>
  <c r="AQ23" i="109"/>
  <c r="AR23" i="109" s="1"/>
  <c r="AT23" i="109" s="1"/>
  <c r="AV23" i="109" s="1"/>
  <c r="AP23" i="109"/>
  <c r="P23" i="109" s="1"/>
  <c r="AG23" i="109"/>
  <c r="AI23" i="109" s="1"/>
  <c r="AA23" i="109"/>
  <c r="AC23" i="109" s="1"/>
  <c r="U23" i="109"/>
  <c r="W23" i="109" s="1"/>
  <c r="Y23" i="109" s="1"/>
  <c r="O23" i="109"/>
  <c r="Q23" i="109" s="1"/>
  <c r="S23" i="109" s="1"/>
  <c r="N23" i="109"/>
  <c r="CK10" i="109"/>
  <c r="CL10" i="109" s="1"/>
  <c r="CJ10" i="109"/>
  <c r="CF10" i="109"/>
  <c r="CD10" i="109"/>
  <c r="BU10" i="109"/>
  <c r="BZ10" i="109" s="1"/>
  <c r="BR10" i="109"/>
  <c r="BJ10" i="109"/>
  <c r="BK10" i="109" s="1"/>
  <c r="BM10" i="109" s="1"/>
  <c r="BO10" i="109" s="1"/>
  <c r="BI10" i="109"/>
  <c r="BB10" i="109"/>
  <c r="BD10" i="109" s="1"/>
  <c r="BF10" i="109" s="1"/>
  <c r="AZ10" i="109"/>
  <c r="AY10" i="109"/>
  <c r="AQ10" i="109"/>
  <c r="AR10" i="109" s="1"/>
  <c r="AT10" i="109" s="1"/>
  <c r="AV10" i="109" s="1"/>
  <c r="AP10" i="109"/>
  <c r="P10" i="109" s="1"/>
  <c r="AG10" i="109"/>
  <c r="AA10" i="109"/>
  <c r="AC10" i="109" s="1"/>
  <c r="U10" i="109"/>
  <c r="W10" i="109" s="1"/>
  <c r="O10" i="109"/>
  <c r="Q10" i="109" s="1"/>
  <c r="N10" i="109"/>
  <c r="CK12" i="109"/>
  <c r="CJ12" i="109"/>
  <c r="CF12" i="109"/>
  <c r="CD12" i="109"/>
  <c r="BU12" i="109"/>
  <c r="BZ12" i="109" s="1"/>
  <c r="BR12" i="109"/>
  <c r="BJ12" i="109"/>
  <c r="BK12" i="109" s="1"/>
  <c r="BM12" i="109" s="1"/>
  <c r="BO12" i="109" s="1"/>
  <c r="BI12" i="109"/>
  <c r="BB12" i="109"/>
  <c r="BD12" i="109" s="1"/>
  <c r="BF12" i="109" s="1"/>
  <c r="AZ12" i="109"/>
  <c r="AY12" i="109"/>
  <c r="AQ12" i="109"/>
  <c r="AR12" i="109" s="1"/>
  <c r="AT12" i="109" s="1"/>
  <c r="AV12" i="109" s="1"/>
  <c r="AP12" i="109"/>
  <c r="P12" i="109" s="1"/>
  <c r="AG12" i="109"/>
  <c r="AI12" i="109" s="1"/>
  <c r="AA12" i="109"/>
  <c r="AC12" i="109" s="1"/>
  <c r="Y12" i="109"/>
  <c r="U12" i="109"/>
  <c r="W12" i="109" s="1"/>
  <c r="O12" i="109"/>
  <c r="Q12" i="109" s="1"/>
  <c r="S12" i="109" s="1"/>
  <c r="T12" i="109" s="1"/>
  <c r="N12" i="109"/>
  <c r="CK7" i="109"/>
  <c r="CL7" i="109" s="1"/>
  <c r="CJ7" i="109"/>
  <c r="CF7" i="109"/>
  <c r="CD7" i="109"/>
  <c r="BU7" i="109"/>
  <c r="BZ7" i="109" s="1"/>
  <c r="BR7" i="109"/>
  <c r="BJ7" i="109"/>
  <c r="BK7" i="109" s="1"/>
  <c r="BM7" i="109" s="1"/>
  <c r="BO7" i="109" s="1"/>
  <c r="BI7" i="109"/>
  <c r="BB7" i="109"/>
  <c r="BD7" i="109" s="1"/>
  <c r="AZ7" i="109"/>
  <c r="AY7" i="109"/>
  <c r="AQ7" i="109"/>
  <c r="AR7" i="109" s="1"/>
  <c r="AT7" i="109" s="1"/>
  <c r="AV7" i="109" s="1"/>
  <c r="AP7" i="109"/>
  <c r="P7" i="109" s="1"/>
  <c r="AG7" i="109"/>
  <c r="AJ7" i="109" s="1"/>
  <c r="AA7" i="109"/>
  <c r="AC7" i="109" s="1"/>
  <c r="U7" i="109"/>
  <c r="W7" i="109" s="1"/>
  <c r="Q7" i="109"/>
  <c r="O7" i="109"/>
  <c r="N7" i="109"/>
  <c r="CK6" i="109"/>
  <c r="CM6" i="109" s="1"/>
  <c r="CP6" i="109" s="1"/>
  <c r="CQ6" i="109" s="1"/>
  <c r="CJ6" i="109"/>
  <c r="CF6" i="109"/>
  <c r="CD6" i="109"/>
  <c r="BZ6" i="109"/>
  <c r="BU6" i="109"/>
  <c r="BR6" i="109"/>
  <c r="BJ6" i="109"/>
  <c r="BK6" i="109" s="1"/>
  <c r="BM6" i="109" s="1"/>
  <c r="BO6" i="109" s="1"/>
  <c r="BI6" i="109"/>
  <c r="BB6" i="109"/>
  <c r="BD6" i="109" s="1"/>
  <c r="AZ6" i="109"/>
  <c r="AY6" i="109"/>
  <c r="AQ6" i="109"/>
  <c r="AR6" i="109" s="1"/>
  <c r="AT6" i="109" s="1"/>
  <c r="AV6" i="109" s="1"/>
  <c r="AP6" i="109"/>
  <c r="AG6" i="109"/>
  <c r="AI6" i="109" s="1"/>
  <c r="AL6" i="109" s="1"/>
  <c r="AA6" i="109"/>
  <c r="AC6" i="109" s="1"/>
  <c r="U6" i="109"/>
  <c r="W6" i="109" s="1"/>
  <c r="P6" i="109"/>
  <c r="O6" i="109"/>
  <c r="Q6" i="109" s="1"/>
  <c r="S6" i="109" s="1"/>
  <c r="N6" i="109"/>
  <c r="CM11" i="109"/>
  <c r="CP11" i="109" s="1"/>
  <c r="CQ11" i="109" s="1"/>
  <c r="CK11" i="109"/>
  <c r="CL11" i="109" s="1"/>
  <c r="CJ11" i="109"/>
  <c r="CF11" i="109"/>
  <c r="CD11" i="109"/>
  <c r="BU11" i="109"/>
  <c r="BZ11" i="109" s="1"/>
  <c r="BR11" i="109"/>
  <c r="BJ11" i="109"/>
  <c r="BK11" i="109" s="1"/>
  <c r="BM11" i="109" s="1"/>
  <c r="BO11" i="109" s="1"/>
  <c r="BI11" i="109"/>
  <c r="BB11" i="109"/>
  <c r="BD11" i="109" s="1"/>
  <c r="BF11" i="109" s="1"/>
  <c r="AZ11" i="109"/>
  <c r="AY11" i="109"/>
  <c r="AQ11" i="109"/>
  <c r="AR11" i="109" s="1"/>
  <c r="AT11" i="109" s="1"/>
  <c r="AV11" i="109" s="1"/>
  <c r="AP11" i="109"/>
  <c r="P11" i="109" s="1"/>
  <c r="AG11" i="109"/>
  <c r="AJ11" i="109" s="1"/>
  <c r="AA11" i="109"/>
  <c r="AC11" i="109" s="1"/>
  <c r="AE11" i="109" s="1"/>
  <c r="U11" i="109"/>
  <c r="W11" i="109" s="1"/>
  <c r="Y11" i="109" s="1"/>
  <c r="O11" i="109"/>
  <c r="Q11" i="109" s="1"/>
  <c r="S11" i="109" s="1"/>
  <c r="N11" i="109"/>
  <c r="CK13" i="109"/>
  <c r="CM13" i="109" s="1"/>
  <c r="CP13" i="109" s="1"/>
  <c r="CQ13" i="109" s="1"/>
  <c r="CJ13" i="109"/>
  <c r="CF13" i="109"/>
  <c r="CD13" i="109"/>
  <c r="BU13" i="109"/>
  <c r="BZ13" i="109" s="1"/>
  <c r="BR13" i="109"/>
  <c r="BK13" i="109"/>
  <c r="BM13" i="109" s="1"/>
  <c r="BO13" i="109" s="1"/>
  <c r="BJ13" i="109"/>
  <c r="BI13" i="109"/>
  <c r="BB13" i="109"/>
  <c r="BD13" i="109" s="1"/>
  <c r="AZ13" i="109"/>
  <c r="AY13" i="109"/>
  <c r="AQ13" i="109"/>
  <c r="AR13" i="109" s="1"/>
  <c r="AT13" i="109" s="1"/>
  <c r="AV13" i="109" s="1"/>
  <c r="AP13" i="109"/>
  <c r="P13" i="109" s="1"/>
  <c r="AJ13" i="109"/>
  <c r="AG13" i="109"/>
  <c r="AI13" i="109" s="1"/>
  <c r="AA13" i="109"/>
  <c r="AC13" i="109" s="1"/>
  <c r="U13" i="109"/>
  <c r="W13" i="109" s="1"/>
  <c r="O13" i="109"/>
  <c r="Q13" i="109" s="1"/>
  <c r="N13" i="109"/>
  <c r="CK8" i="109"/>
  <c r="CM8" i="109" s="1"/>
  <c r="CP8" i="109" s="1"/>
  <c r="CQ8" i="109" s="1"/>
  <c r="CJ8" i="109"/>
  <c r="CF8" i="109"/>
  <c r="CD8" i="109"/>
  <c r="BU8" i="109"/>
  <c r="BZ8" i="109" s="1"/>
  <c r="BR8" i="109"/>
  <c r="BJ8" i="109"/>
  <c r="BK8" i="109" s="1"/>
  <c r="BM8" i="109" s="1"/>
  <c r="BO8" i="109" s="1"/>
  <c r="BI8" i="109"/>
  <c r="BB8" i="109"/>
  <c r="BD8" i="109" s="1"/>
  <c r="BF8" i="109" s="1"/>
  <c r="AZ8" i="109"/>
  <c r="AY8" i="109"/>
  <c r="AQ8" i="109"/>
  <c r="AR8" i="109" s="1"/>
  <c r="AT8" i="109" s="1"/>
  <c r="AV8" i="109" s="1"/>
  <c r="AP8" i="109"/>
  <c r="AG8" i="109"/>
  <c r="AJ8" i="109" s="1"/>
  <c r="AA8" i="109"/>
  <c r="AC8" i="109" s="1"/>
  <c r="AE8" i="109" s="1"/>
  <c r="U8" i="109"/>
  <c r="W8" i="109" s="1"/>
  <c r="Y8" i="109" s="1"/>
  <c r="P8" i="109"/>
  <c r="O8" i="109"/>
  <c r="Q8" i="109" s="1"/>
  <c r="S8" i="109" s="1"/>
  <c r="N8" i="109"/>
  <c r="CK5" i="109"/>
  <c r="CM5" i="109" s="1"/>
  <c r="CP5" i="109" s="1"/>
  <c r="CQ5" i="109" s="1"/>
  <c r="CJ5" i="109"/>
  <c r="CF5" i="109"/>
  <c r="CD5" i="109"/>
  <c r="BU5" i="109"/>
  <c r="BZ5" i="109" s="1"/>
  <c r="BR5" i="109"/>
  <c r="BJ5" i="109"/>
  <c r="BK5" i="109" s="1"/>
  <c r="BM5" i="109" s="1"/>
  <c r="BO5" i="109" s="1"/>
  <c r="BI5" i="109"/>
  <c r="BB5" i="109"/>
  <c r="BD5" i="109" s="1"/>
  <c r="BF5" i="109" s="1"/>
  <c r="AZ5" i="109"/>
  <c r="AY5" i="109"/>
  <c r="AQ5" i="109"/>
  <c r="AR5" i="109" s="1"/>
  <c r="AT5" i="109" s="1"/>
  <c r="AV5" i="109" s="1"/>
  <c r="AP5" i="109"/>
  <c r="P5" i="109" s="1"/>
  <c r="AG5" i="109"/>
  <c r="AJ5" i="109" s="1"/>
  <c r="AC5" i="109"/>
  <c r="AA5" i="109"/>
  <c r="U5" i="109"/>
  <c r="W5" i="109" s="1"/>
  <c r="Q5" i="109"/>
  <c r="O5" i="109"/>
  <c r="N5" i="109"/>
  <c r="CM14" i="109"/>
  <c r="CP14" i="109" s="1"/>
  <c r="CQ14" i="109" s="1"/>
  <c r="CL14" i="109"/>
  <c r="CK14" i="109"/>
  <c r="CJ14" i="109"/>
  <c r="CF14" i="109"/>
  <c r="CD14" i="109"/>
  <c r="BU14" i="109"/>
  <c r="BZ14" i="109" s="1"/>
  <c r="BR14" i="109"/>
  <c r="BJ14" i="109"/>
  <c r="BK14" i="109" s="1"/>
  <c r="BM14" i="109" s="1"/>
  <c r="BO14" i="109" s="1"/>
  <c r="BI14" i="109"/>
  <c r="BB14" i="109"/>
  <c r="BD14" i="109" s="1"/>
  <c r="BF14" i="109" s="1"/>
  <c r="AZ14" i="109"/>
  <c r="AY14" i="109"/>
  <c r="AQ14" i="109"/>
  <c r="AR14" i="109" s="1"/>
  <c r="AT14" i="109" s="1"/>
  <c r="AV14" i="109" s="1"/>
  <c r="AP14" i="109"/>
  <c r="P14" i="109" s="1"/>
  <c r="AG14" i="109"/>
  <c r="AJ14" i="109" s="1"/>
  <c r="AA14" i="109"/>
  <c r="AC14" i="109" s="1"/>
  <c r="AE14" i="109" s="1"/>
  <c r="U14" i="109"/>
  <c r="W14" i="109" s="1"/>
  <c r="Y14" i="109" s="1"/>
  <c r="O14" i="109"/>
  <c r="Q14" i="109" s="1"/>
  <c r="S14" i="109" s="1"/>
  <c r="N14" i="109"/>
  <c r="CK15" i="109"/>
  <c r="CM15" i="109" s="1"/>
  <c r="CP15" i="109" s="1"/>
  <c r="CQ15" i="109" s="1"/>
  <c r="CJ15" i="109"/>
  <c r="CF15" i="109"/>
  <c r="CD15" i="109"/>
  <c r="BU15" i="109"/>
  <c r="BZ15" i="109" s="1"/>
  <c r="BR15" i="109"/>
  <c r="BJ15" i="109"/>
  <c r="BK15" i="109" s="1"/>
  <c r="BM15" i="109" s="1"/>
  <c r="BO15" i="109" s="1"/>
  <c r="BI15" i="109"/>
  <c r="BB15" i="109"/>
  <c r="BD15" i="109" s="1"/>
  <c r="BF15" i="109" s="1"/>
  <c r="AZ15" i="109"/>
  <c r="AY15" i="109"/>
  <c r="AQ15" i="109"/>
  <c r="AR15" i="109" s="1"/>
  <c r="AT15" i="109" s="1"/>
  <c r="AV15" i="109" s="1"/>
  <c r="AP15" i="109"/>
  <c r="P15" i="109" s="1"/>
  <c r="AG15" i="109"/>
  <c r="AJ15" i="109" s="1"/>
  <c r="AA15" i="109"/>
  <c r="AC15" i="109" s="1"/>
  <c r="U15" i="109"/>
  <c r="W15" i="109" s="1"/>
  <c r="Y15" i="109" s="1"/>
  <c r="O15" i="109"/>
  <c r="Q15" i="109" s="1"/>
  <c r="S15" i="109" s="1"/>
  <c r="N15" i="109"/>
  <c r="CL16" i="109"/>
  <c r="CK16" i="109"/>
  <c r="CM16" i="109" s="1"/>
  <c r="CP16" i="109" s="1"/>
  <c r="CQ16" i="109" s="1"/>
  <c r="CJ16" i="109"/>
  <c r="CF16" i="109"/>
  <c r="CD16" i="109"/>
  <c r="BU16" i="109"/>
  <c r="BZ16" i="109" s="1"/>
  <c r="BR16" i="109"/>
  <c r="BJ16" i="109"/>
  <c r="BK16" i="109" s="1"/>
  <c r="BM16" i="109" s="1"/>
  <c r="BO16" i="109" s="1"/>
  <c r="BI16" i="109"/>
  <c r="BB16" i="109"/>
  <c r="BD16" i="109" s="1"/>
  <c r="AZ16" i="109"/>
  <c r="AY16" i="109"/>
  <c r="AQ16" i="109"/>
  <c r="AR16" i="109" s="1"/>
  <c r="AT16" i="109" s="1"/>
  <c r="AV16" i="109" s="1"/>
  <c r="AP16" i="109"/>
  <c r="P16" i="109" s="1"/>
  <c r="AG16" i="109"/>
  <c r="AA16" i="109"/>
  <c r="AC16" i="109" s="1"/>
  <c r="AE16" i="109" s="1"/>
  <c r="U16" i="109"/>
  <c r="W16" i="109" s="1"/>
  <c r="Y16" i="109" s="1"/>
  <c r="O16" i="109"/>
  <c r="Q16" i="109" s="1"/>
  <c r="S16" i="109" s="1"/>
  <c r="N16" i="109"/>
  <c r="CK18" i="109"/>
  <c r="CL18" i="109" s="1"/>
  <c r="CJ18" i="109"/>
  <c r="CF18" i="109"/>
  <c r="CD18" i="109"/>
  <c r="BU18" i="109"/>
  <c r="BZ18" i="109" s="1"/>
  <c r="BR18" i="109"/>
  <c r="BO18" i="109"/>
  <c r="BJ18" i="109"/>
  <c r="BK18" i="109" s="1"/>
  <c r="BM18" i="109" s="1"/>
  <c r="BI18" i="109"/>
  <c r="BB18" i="109"/>
  <c r="BD18" i="109" s="1"/>
  <c r="BF18" i="109" s="1"/>
  <c r="AZ18" i="109"/>
  <c r="AY18" i="109"/>
  <c r="AQ18" i="109"/>
  <c r="AR18" i="109" s="1"/>
  <c r="AT18" i="109" s="1"/>
  <c r="AV18" i="109" s="1"/>
  <c r="AP18" i="109"/>
  <c r="AJ18" i="109"/>
  <c r="AG18" i="109"/>
  <c r="AF18" i="109"/>
  <c r="AE18" i="109"/>
  <c r="AA18" i="109"/>
  <c r="Z18" i="109"/>
  <c r="Y18" i="109"/>
  <c r="U18" i="109"/>
  <c r="W18" i="109" s="1"/>
  <c r="P18" i="109"/>
  <c r="O18" i="109"/>
  <c r="Q18" i="109" s="1"/>
  <c r="S18" i="109" s="1"/>
  <c r="N18" i="109"/>
  <c r="CK9" i="109"/>
  <c r="CM9" i="109" s="1"/>
  <c r="CP9" i="109" s="1"/>
  <c r="CQ9" i="109" s="1"/>
  <c r="CJ9" i="109"/>
  <c r="CF9" i="109"/>
  <c r="CD9" i="109"/>
  <c r="BU9" i="109"/>
  <c r="BZ9" i="109" s="1"/>
  <c r="BR9" i="109"/>
  <c r="BJ9" i="109"/>
  <c r="BK9" i="109" s="1"/>
  <c r="BM9" i="109" s="1"/>
  <c r="BO9" i="109" s="1"/>
  <c r="BI9" i="109"/>
  <c r="BB9" i="109"/>
  <c r="BD9" i="109" s="1"/>
  <c r="AZ9" i="109"/>
  <c r="AY9" i="109"/>
  <c r="AQ9" i="109"/>
  <c r="AR9" i="109" s="1"/>
  <c r="AT9" i="109" s="1"/>
  <c r="AV9" i="109" s="1"/>
  <c r="AP9" i="109"/>
  <c r="P9" i="109" s="1"/>
  <c r="AG9" i="109"/>
  <c r="AJ9" i="109" s="1"/>
  <c r="AA9" i="109"/>
  <c r="AC9" i="109" s="1"/>
  <c r="U9" i="109"/>
  <c r="W9" i="109" s="1"/>
  <c r="O9" i="109"/>
  <c r="Q9" i="109" s="1"/>
  <c r="N9" i="109"/>
  <c r="CK17" i="109"/>
  <c r="CM17" i="109" s="1"/>
  <c r="CP17" i="109" s="1"/>
  <c r="CQ17" i="109" s="1"/>
  <c r="CJ17" i="109"/>
  <c r="CF17" i="109"/>
  <c r="CD17" i="109"/>
  <c r="BU17" i="109"/>
  <c r="BZ17" i="109" s="1"/>
  <c r="BR17" i="109"/>
  <c r="BO17" i="109"/>
  <c r="BJ17" i="109"/>
  <c r="BK17" i="109" s="1"/>
  <c r="BM17" i="109" s="1"/>
  <c r="BI17" i="109"/>
  <c r="BB17" i="109"/>
  <c r="BD17" i="109" s="1"/>
  <c r="AZ17" i="109"/>
  <c r="AY17" i="109"/>
  <c r="AQ17" i="109"/>
  <c r="AR17" i="109" s="1"/>
  <c r="AT17" i="109" s="1"/>
  <c r="AV17" i="109" s="1"/>
  <c r="AP17" i="109"/>
  <c r="P17" i="109" s="1"/>
  <c r="AG17" i="109"/>
  <c r="AJ17" i="109" s="1"/>
  <c r="AF17" i="109"/>
  <c r="AE17" i="109"/>
  <c r="AA17" i="109"/>
  <c r="AC17" i="109" s="1"/>
  <c r="U17" i="109"/>
  <c r="W17" i="109" s="1"/>
  <c r="O17" i="109"/>
  <c r="Q17" i="109" s="1"/>
  <c r="N17" i="109"/>
  <c r="BP3" i="109"/>
  <c r="BG3" i="109"/>
  <c r="AW3" i="109"/>
  <c r="AN3" i="109"/>
  <c r="AI3" i="109"/>
  <c r="AC3" i="109"/>
  <c r="W3" i="109"/>
  <c r="Q3" i="109"/>
  <c r="M3" i="109"/>
  <c r="D1" i="109"/>
  <c r="CC26" i="8"/>
  <c r="CE26" i="8"/>
  <c r="BL26" i="8"/>
  <c r="BH26" i="8"/>
  <c r="BC26" i="8"/>
  <c r="AX26" i="8"/>
  <c r="AO26" i="8"/>
  <c r="AK26" i="8"/>
  <c r="AD26" i="8"/>
  <c r="X26" i="8"/>
  <c r="R26" i="8"/>
  <c r="N23" i="8"/>
  <c r="O23" i="8"/>
  <c r="Q23" i="8" s="1"/>
  <c r="S23" i="8" s="1"/>
  <c r="T23" i="8" s="1"/>
  <c r="U23" i="8"/>
  <c r="W23" i="8" s="1"/>
  <c r="AA23" i="8"/>
  <c r="AE23" i="8"/>
  <c r="AF23" i="8"/>
  <c r="AG23" i="8"/>
  <c r="AJ23" i="8" s="1"/>
  <c r="AP23" i="8"/>
  <c r="P23" i="8" s="1"/>
  <c r="AQ23" i="8"/>
  <c r="AR23" i="8" s="1"/>
  <c r="AT23" i="8" s="1"/>
  <c r="AV23" i="8" s="1"/>
  <c r="AY23" i="8"/>
  <c r="AZ23" i="8"/>
  <c r="BB23" i="8"/>
  <c r="BD23" i="8" s="1"/>
  <c r="BF23" i="8" s="1"/>
  <c r="BI23" i="8"/>
  <c r="BJ23" i="8"/>
  <c r="BK23" i="8" s="1"/>
  <c r="BM23" i="8" s="1"/>
  <c r="BO23" i="8"/>
  <c r="BR23" i="8"/>
  <c r="BU23" i="8"/>
  <c r="BZ23" i="8" s="1"/>
  <c r="CD23" i="8"/>
  <c r="CF23" i="8"/>
  <c r="N24" i="8"/>
  <c r="O24" i="8"/>
  <c r="Q24" i="8" s="1"/>
  <c r="S24" i="8" s="1"/>
  <c r="U24" i="8"/>
  <c r="W24" i="8" s="1"/>
  <c r="AA24" i="8"/>
  <c r="AG24" i="8"/>
  <c r="AJ24" i="8" s="1"/>
  <c r="AP24" i="8"/>
  <c r="P24" i="8" s="1"/>
  <c r="AQ24" i="8"/>
  <c r="AR24" i="8" s="1"/>
  <c r="AT24" i="8" s="1"/>
  <c r="AV24" i="8" s="1"/>
  <c r="AY24" i="8"/>
  <c r="AZ24" i="8"/>
  <c r="BB24" i="8"/>
  <c r="BD24" i="8" s="1"/>
  <c r="BI24" i="8"/>
  <c r="BJ24" i="8"/>
  <c r="BK24" i="8" s="1"/>
  <c r="BM24" i="8" s="1"/>
  <c r="BO24" i="8" s="1"/>
  <c r="BR24" i="8"/>
  <c r="BU24" i="8"/>
  <c r="BZ24" i="8" s="1"/>
  <c r="CD24" i="8"/>
  <c r="CF24" i="8"/>
  <c r="N25" i="8"/>
  <c r="O25" i="8"/>
  <c r="Q25" i="8" s="1"/>
  <c r="S25" i="8" s="1"/>
  <c r="U25" i="8"/>
  <c r="W25" i="8" s="1"/>
  <c r="Y25" i="8"/>
  <c r="Z25" i="8"/>
  <c r="AA25" i="8"/>
  <c r="AE25" i="8"/>
  <c r="AF25" i="8"/>
  <c r="AG25" i="8"/>
  <c r="AJ25" i="8" s="1"/>
  <c r="AP25" i="8"/>
  <c r="P25" i="8" s="1"/>
  <c r="AQ25" i="8"/>
  <c r="AR25" i="8" s="1"/>
  <c r="AT25" i="8" s="1"/>
  <c r="AV25" i="8" s="1"/>
  <c r="AY25" i="8"/>
  <c r="AZ25" i="8"/>
  <c r="BB25" i="8"/>
  <c r="BD25" i="8" s="1"/>
  <c r="BF25" i="8" s="1"/>
  <c r="BI25" i="8"/>
  <c r="BJ25" i="8"/>
  <c r="BK25" i="8" s="1"/>
  <c r="BM25" i="8" s="1"/>
  <c r="BO25" i="8"/>
  <c r="BR25" i="8"/>
  <c r="BU25" i="8"/>
  <c r="CD25" i="8"/>
  <c r="CF25" i="8"/>
  <c r="AC18" i="109" l="1"/>
  <c r="AI18" i="109" s="1"/>
  <c r="BF13" i="109"/>
  <c r="T6" i="109"/>
  <c r="BF16" i="109"/>
  <c r="AI5" i="109"/>
  <c r="Z8" i="109"/>
  <c r="BF6" i="109"/>
  <c r="AI17" i="109"/>
  <c r="BF17" i="109"/>
  <c r="AI15" i="109"/>
  <c r="Z12" i="109"/>
  <c r="AJ12" i="109"/>
  <c r="AJ23" i="109"/>
  <c r="S17" i="109"/>
  <c r="T17" i="109" s="1"/>
  <c r="Y17" i="109"/>
  <c r="Z17" i="109" s="1"/>
  <c r="Z16" i="109"/>
  <c r="CL8" i="109"/>
  <c r="Z11" i="109"/>
  <c r="AI7" i="109"/>
  <c r="CM7" i="109"/>
  <c r="CP7" i="109" s="1"/>
  <c r="CQ7" i="109" s="1"/>
  <c r="BF23" i="109"/>
  <c r="BF9" i="109"/>
  <c r="CM18" i="109"/>
  <c r="CP18" i="109" s="1"/>
  <c r="CQ18" i="109" s="1"/>
  <c r="Z14" i="109"/>
  <c r="AJ6" i="109"/>
  <c r="CL6" i="109"/>
  <c r="BF7" i="109"/>
  <c r="CM10" i="109"/>
  <c r="CP10" i="109" s="1"/>
  <c r="CQ10" i="109" s="1"/>
  <c r="CM24" i="109"/>
  <c r="CP24" i="109" s="1"/>
  <c r="CQ24" i="109" s="1"/>
  <c r="S9" i="109"/>
  <c r="T9" i="109" s="1"/>
  <c r="Y9" i="109"/>
  <c r="Z9" i="109" s="1"/>
  <c r="AL17" i="109"/>
  <c r="AM17" i="109" s="1"/>
  <c r="AE9" i="109"/>
  <c r="AF9" i="109" s="1"/>
  <c r="AL18" i="109"/>
  <c r="AM18" i="109"/>
  <c r="CL17" i="109"/>
  <c r="AI9" i="109"/>
  <c r="CL9" i="109"/>
  <c r="T16" i="109"/>
  <c r="AF16" i="109"/>
  <c r="T14" i="109"/>
  <c r="AF14" i="109"/>
  <c r="S5" i="109"/>
  <c r="T5" i="109" s="1"/>
  <c r="AE5" i="109"/>
  <c r="AF5" i="109" s="1"/>
  <c r="T8" i="109"/>
  <c r="AF8" i="109"/>
  <c r="S13" i="109"/>
  <c r="T13" i="109" s="1"/>
  <c r="AE13" i="109"/>
  <c r="AF13" i="109" s="1"/>
  <c r="T11" i="109"/>
  <c r="AF11" i="109"/>
  <c r="AE6" i="109"/>
  <c r="AF6" i="109" s="1"/>
  <c r="AL7" i="109"/>
  <c r="AL20" i="109"/>
  <c r="AM20" i="109" s="1"/>
  <c r="AE21" i="109"/>
  <c r="AF21" i="109" s="1"/>
  <c r="AL15" i="109"/>
  <c r="AM15" i="109" s="1"/>
  <c r="AE10" i="109"/>
  <c r="AF10" i="109" s="1"/>
  <c r="AL25" i="109"/>
  <c r="AM25" i="109" s="1"/>
  <c r="AM19" i="109"/>
  <c r="AL19" i="109"/>
  <c r="AJ16" i="109"/>
  <c r="AI16" i="109"/>
  <c r="Z15" i="109"/>
  <c r="AE15" i="109"/>
  <c r="AF15" i="109" s="1"/>
  <c r="Y7" i="109"/>
  <c r="Z7" i="109" s="1"/>
  <c r="AF12" i="109"/>
  <c r="AE23" i="109"/>
  <c r="AF23" i="109" s="1"/>
  <c r="Y20" i="109"/>
  <c r="Z20" i="109" s="1"/>
  <c r="AE24" i="109"/>
  <c r="AF24" i="109" s="1"/>
  <c r="T18" i="109"/>
  <c r="T15" i="109"/>
  <c r="Y5" i="109"/>
  <c r="Z5" i="109" s="1"/>
  <c r="AL5" i="109"/>
  <c r="AM5" i="109" s="1"/>
  <c r="Y13" i="109"/>
  <c r="Z13" i="109" s="1"/>
  <c r="AL13" i="109"/>
  <c r="AM13" i="109" s="1"/>
  <c r="AE7" i="109"/>
  <c r="AF7" i="109" s="1"/>
  <c r="AL12" i="109"/>
  <c r="AM12" i="109" s="1"/>
  <c r="CM12" i="109"/>
  <c r="CP12" i="109" s="1"/>
  <c r="CQ12" i="109" s="1"/>
  <c r="CL12" i="109"/>
  <c r="AJ10" i="109"/>
  <c r="AI10" i="109"/>
  <c r="Y22" i="109"/>
  <c r="Z22" i="109" s="1"/>
  <c r="CM20" i="109"/>
  <c r="CP20" i="109" s="1"/>
  <c r="CQ20" i="109" s="1"/>
  <c r="CL20" i="109"/>
  <c r="AJ24" i="109"/>
  <c r="AI24" i="109"/>
  <c r="CM25" i="109"/>
  <c r="CP25" i="109" s="1"/>
  <c r="CQ25" i="109" s="1"/>
  <c r="CL25" i="109"/>
  <c r="AJ21" i="109"/>
  <c r="AI21" i="109"/>
  <c r="CL15" i="109"/>
  <c r="AI14" i="109"/>
  <c r="CL5" i="109"/>
  <c r="AI8" i="109"/>
  <c r="CL13" i="109"/>
  <c r="AI11" i="109"/>
  <c r="Y6" i="109"/>
  <c r="Z6" i="109" s="1"/>
  <c r="S7" i="109"/>
  <c r="T7" i="109" s="1"/>
  <c r="AE12" i="109"/>
  <c r="Z23" i="109"/>
  <c r="AL23" i="109"/>
  <c r="AM23" i="109" s="1"/>
  <c r="AE22" i="109"/>
  <c r="AF22" i="109" s="1"/>
  <c r="AF20" i="109"/>
  <c r="Z25" i="109"/>
  <c r="AM6" i="109"/>
  <c r="Y10" i="109"/>
  <c r="Z10" i="109" s="1"/>
  <c r="T23" i="109"/>
  <c r="CM23" i="109"/>
  <c r="CP23" i="109" s="1"/>
  <c r="CQ23" i="109" s="1"/>
  <c r="CL23" i="109"/>
  <c r="AJ22" i="109"/>
  <c r="AI22" i="109"/>
  <c r="S20" i="109"/>
  <c r="T20" i="109" s="1"/>
  <c r="Y24" i="109"/>
  <c r="Z24" i="109" s="1"/>
  <c r="T25" i="109"/>
  <c r="Z21" i="109"/>
  <c r="Y21" i="109"/>
  <c r="S19" i="109"/>
  <c r="T19" i="109" s="1"/>
  <c r="J19" i="109" s="1"/>
  <c r="CM19" i="109"/>
  <c r="CP19" i="109" s="1"/>
  <c r="CQ19" i="109" s="1"/>
  <c r="CL19" i="109"/>
  <c r="S10" i="109"/>
  <c r="T10" i="109" s="1"/>
  <c r="S22" i="109"/>
  <c r="T22" i="109" s="1"/>
  <c r="S24" i="109"/>
  <c r="T24" i="109" s="1"/>
  <c r="S21" i="109"/>
  <c r="T21" i="109" s="1"/>
  <c r="AC23" i="8"/>
  <c r="AI23" i="8" s="1"/>
  <c r="AL23" i="8" s="1"/>
  <c r="AM23" i="8" s="1"/>
  <c r="AC24" i="8"/>
  <c r="AI24" i="8" s="1"/>
  <c r="AL24" i="8" s="1"/>
  <c r="AM24" i="8" s="1"/>
  <c r="T24" i="8"/>
  <c r="AC25" i="8"/>
  <c r="AI25" i="8" s="1"/>
  <c r="AL25" i="8" s="1"/>
  <c r="AM25" i="8" s="1"/>
  <c r="J25" i="8" s="1"/>
  <c r="T25" i="8"/>
  <c r="AE24" i="8"/>
  <c r="AF24" i="8" s="1"/>
  <c r="Y24" i="8"/>
  <c r="Z24" i="8" s="1"/>
  <c r="Y23" i="8"/>
  <c r="Z23" i="8" s="1"/>
  <c r="CJ25" i="8"/>
  <c r="CJ23" i="8"/>
  <c r="CJ22" i="8"/>
  <c r="CF22" i="8"/>
  <c r="CD22" i="8"/>
  <c r="BU22" i="8"/>
  <c r="BZ22" i="8" s="1"/>
  <c r="BR22" i="8"/>
  <c r="BI22" i="8"/>
  <c r="BB22" i="8"/>
  <c r="BD22" i="8" s="1"/>
  <c r="BF22" i="8" s="1"/>
  <c r="AZ22" i="8"/>
  <c r="AY22" i="8"/>
  <c r="AP22" i="8"/>
  <c r="P22" i="8" s="1"/>
  <c r="AG22" i="8"/>
  <c r="AJ22" i="8" s="1"/>
  <c r="AA22" i="8"/>
  <c r="U22" i="8"/>
  <c r="W22" i="8" s="1"/>
  <c r="O22" i="8"/>
  <c r="Q22" i="8" s="1"/>
  <c r="N22" i="8"/>
  <c r="CJ21" i="8"/>
  <c r="CF21" i="8"/>
  <c r="CD21" i="8"/>
  <c r="BU21" i="8"/>
  <c r="BZ21" i="8" s="1"/>
  <c r="BR21" i="8"/>
  <c r="BI21" i="8"/>
  <c r="BB21" i="8"/>
  <c r="BD21" i="8" s="1"/>
  <c r="BF21" i="8" s="1"/>
  <c r="AZ21" i="8"/>
  <c r="AY21" i="8"/>
  <c r="AP21" i="8"/>
  <c r="P21" i="8" s="1"/>
  <c r="AG21" i="8"/>
  <c r="AJ21" i="8" s="1"/>
  <c r="AA21" i="8"/>
  <c r="U21" i="8"/>
  <c r="W21" i="8" s="1"/>
  <c r="O21" i="8"/>
  <c r="Q21" i="8" s="1"/>
  <c r="N21" i="8"/>
  <c r="CJ20" i="8"/>
  <c r="CF20" i="8"/>
  <c r="CD20" i="8"/>
  <c r="BU20" i="8"/>
  <c r="BZ20" i="8" s="1"/>
  <c r="BR20" i="8"/>
  <c r="BI20" i="8"/>
  <c r="BB20" i="8"/>
  <c r="BD20" i="8" s="1"/>
  <c r="BF20" i="8" s="1"/>
  <c r="AZ20" i="8"/>
  <c r="AY20" i="8"/>
  <c r="AP20" i="8"/>
  <c r="P20" i="8" s="1"/>
  <c r="AG20" i="8"/>
  <c r="AJ20" i="8" s="1"/>
  <c r="AA20" i="8"/>
  <c r="U20" i="8"/>
  <c r="W20" i="8" s="1"/>
  <c r="O20" i="8"/>
  <c r="Q20" i="8" s="1"/>
  <c r="N20" i="8"/>
  <c r="CJ19" i="8"/>
  <c r="CF19" i="8"/>
  <c r="CD19" i="8"/>
  <c r="BU19" i="8"/>
  <c r="BZ19" i="8" s="1"/>
  <c r="BR19" i="8"/>
  <c r="BI19" i="8"/>
  <c r="BB19" i="8"/>
  <c r="BD19" i="8" s="1"/>
  <c r="AZ19" i="8"/>
  <c r="AY19" i="8"/>
  <c r="AP19" i="8"/>
  <c r="P19" i="8" s="1"/>
  <c r="AG19" i="8"/>
  <c r="AJ19" i="8" s="1"/>
  <c r="AA19" i="8"/>
  <c r="U19" i="8"/>
  <c r="W19" i="8" s="1"/>
  <c r="O19" i="8"/>
  <c r="Q19" i="8" s="1"/>
  <c r="N19" i="8"/>
  <c r="CJ18" i="8"/>
  <c r="CF18" i="8"/>
  <c r="CD18" i="8"/>
  <c r="BU18" i="8"/>
  <c r="BZ18" i="8" s="1"/>
  <c r="BR18" i="8"/>
  <c r="BI18" i="8"/>
  <c r="BB18" i="8"/>
  <c r="BD18" i="8" s="1"/>
  <c r="BF18" i="8" s="1"/>
  <c r="AZ18" i="8"/>
  <c r="AY18" i="8"/>
  <c r="AP18" i="8"/>
  <c r="P18" i="8" s="1"/>
  <c r="AG18" i="8"/>
  <c r="AJ18" i="8" s="1"/>
  <c r="AA18" i="8"/>
  <c r="U18" i="8"/>
  <c r="W18" i="8" s="1"/>
  <c r="O18" i="8"/>
  <c r="Q18" i="8" s="1"/>
  <c r="N18" i="8"/>
  <c r="CJ17" i="8"/>
  <c r="CF17" i="8"/>
  <c r="CD17" i="8"/>
  <c r="BU17" i="8"/>
  <c r="BZ17" i="8" s="1"/>
  <c r="BR17" i="8"/>
  <c r="BI17" i="8"/>
  <c r="BB17" i="8"/>
  <c r="BD17" i="8" s="1"/>
  <c r="BF17" i="8" s="1"/>
  <c r="AZ17" i="8"/>
  <c r="AY17" i="8"/>
  <c r="AP17" i="8"/>
  <c r="P17" i="8" s="1"/>
  <c r="AG17" i="8"/>
  <c r="AJ17" i="8" s="1"/>
  <c r="AA17" i="8"/>
  <c r="U17" i="8"/>
  <c r="W17" i="8" s="1"/>
  <c r="O17" i="8"/>
  <c r="Q17" i="8" s="1"/>
  <c r="N17" i="8"/>
  <c r="CJ16" i="8"/>
  <c r="CF16" i="8"/>
  <c r="CD16" i="8"/>
  <c r="BU16" i="8"/>
  <c r="BZ16" i="8" s="1"/>
  <c r="BR16" i="8"/>
  <c r="BI16" i="8"/>
  <c r="BB16" i="8"/>
  <c r="BD16" i="8" s="1"/>
  <c r="AZ16" i="8"/>
  <c r="AY16" i="8"/>
  <c r="AP16" i="8"/>
  <c r="P16" i="8" s="1"/>
  <c r="AG16" i="8"/>
  <c r="AJ16" i="8" s="1"/>
  <c r="AA16" i="8"/>
  <c r="U16" i="8"/>
  <c r="W16" i="8" s="1"/>
  <c r="O16" i="8"/>
  <c r="Q16" i="8" s="1"/>
  <c r="N16" i="8"/>
  <c r="CJ15" i="8"/>
  <c r="CF15" i="8"/>
  <c r="CD15" i="8"/>
  <c r="BU15" i="8"/>
  <c r="BZ15" i="8" s="1"/>
  <c r="BR15" i="8"/>
  <c r="BI15" i="8"/>
  <c r="BB15" i="8"/>
  <c r="BD15" i="8" s="1"/>
  <c r="AZ15" i="8"/>
  <c r="AY15" i="8"/>
  <c r="AP15" i="8"/>
  <c r="P15" i="8" s="1"/>
  <c r="AG15" i="8"/>
  <c r="AJ15" i="8" s="1"/>
  <c r="AA15" i="8"/>
  <c r="U15" i="8"/>
  <c r="W15" i="8" s="1"/>
  <c r="O15" i="8"/>
  <c r="Q15" i="8" s="1"/>
  <c r="N15" i="8"/>
  <c r="CJ14" i="8"/>
  <c r="CF14" i="8"/>
  <c r="CD14" i="8"/>
  <c r="BU14" i="8"/>
  <c r="BZ14" i="8" s="1"/>
  <c r="BR14" i="8"/>
  <c r="BI14" i="8"/>
  <c r="BB14" i="8"/>
  <c r="BD14" i="8" s="1"/>
  <c r="BF14" i="8" s="1"/>
  <c r="AZ14" i="8"/>
  <c r="AY14" i="8"/>
  <c r="AP14" i="8"/>
  <c r="P14" i="8" s="1"/>
  <c r="AG14" i="8"/>
  <c r="AJ14" i="8" s="1"/>
  <c r="AA14" i="8"/>
  <c r="U14" i="8"/>
  <c r="W14" i="8" s="1"/>
  <c r="Y14" i="8" s="1"/>
  <c r="O14" i="8"/>
  <c r="Q14" i="8" s="1"/>
  <c r="N14" i="8"/>
  <c r="CJ13" i="8"/>
  <c r="CF13" i="8"/>
  <c r="CD13" i="8"/>
  <c r="BU13" i="8"/>
  <c r="BZ13" i="8" s="1"/>
  <c r="BR13" i="8"/>
  <c r="BI13" i="8"/>
  <c r="BB13" i="8"/>
  <c r="BD13" i="8" s="1"/>
  <c r="AZ13" i="8"/>
  <c r="AY13" i="8"/>
  <c r="AP13" i="8"/>
  <c r="P13" i="8" s="1"/>
  <c r="AG13" i="8"/>
  <c r="AA13" i="8"/>
  <c r="U13" i="8"/>
  <c r="W13" i="8" s="1"/>
  <c r="O13" i="8"/>
  <c r="Q13" i="8" s="1"/>
  <c r="N13" i="8"/>
  <c r="CJ12" i="8"/>
  <c r="CF12" i="8"/>
  <c r="CD12" i="8"/>
  <c r="BU12" i="8"/>
  <c r="BZ12" i="8" s="1"/>
  <c r="BR12" i="8"/>
  <c r="BI12" i="8"/>
  <c r="BB12" i="8"/>
  <c r="BD12" i="8" s="1"/>
  <c r="BF12" i="8" s="1"/>
  <c r="AZ12" i="8"/>
  <c r="AY12" i="8"/>
  <c r="AP12" i="8"/>
  <c r="P12" i="8" s="1"/>
  <c r="AG12" i="8"/>
  <c r="AA12" i="8"/>
  <c r="U12" i="8"/>
  <c r="W12" i="8" s="1"/>
  <c r="O12" i="8"/>
  <c r="Q12" i="8" s="1"/>
  <c r="N12" i="8"/>
  <c r="CJ11" i="8"/>
  <c r="CF11" i="8"/>
  <c r="CD11" i="8"/>
  <c r="BU11" i="8"/>
  <c r="BZ11" i="8" s="1"/>
  <c r="BR11" i="8"/>
  <c r="BI11" i="8"/>
  <c r="BB11" i="8"/>
  <c r="BD11" i="8" s="1"/>
  <c r="AZ11" i="8"/>
  <c r="AY11" i="8"/>
  <c r="AP11" i="8"/>
  <c r="P11" i="8" s="1"/>
  <c r="AG11" i="8"/>
  <c r="AA11" i="8"/>
  <c r="U11" i="8"/>
  <c r="W11" i="8" s="1"/>
  <c r="O11" i="8"/>
  <c r="Q11" i="8" s="1"/>
  <c r="N11" i="8"/>
  <c r="CJ10" i="8"/>
  <c r="CF10" i="8"/>
  <c r="CD10" i="8"/>
  <c r="BU10" i="8"/>
  <c r="BZ10" i="8" s="1"/>
  <c r="BR10" i="8"/>
  <c r="BI10" i="8"/>
  <c r="BB10" i="8"/>
  <c r="BD10" i="8" s="1"/>
  <c r="BF10" i="8" s="1"/>
  <c r="AZ10" i="8"/>
  <c r="AY10" i="8"/>
  <c r="AP10" i="8"/>
  <c r="P10" i="8" s="1"/>
  <c r="AG10" i="8"/>
  <c r="AA10" i="8"/>
  <c r="U10" i="8"/>
  <c r="W10" i="8" s="1"/>
  <c r="O10" i="8"/>
  <c r="Q10" i="8" s="1"/>
  <c r="N10" i="8"/>
  <c r="CJ9" i="8"/>
  <c r="CF9" i="8"/>
  <c r="CD9" i="8"/>
  <c r="BU9" i="8"/>
  <c r="BZ9" i="8" s="1"/>
  <c r="BR9" i="8"/>
  <c r="BI9" i="8"/>
  <c r="BB9" i="8"/>
  <c r="BD9" i="8" s="1"/>
  <c r="BF9" i="8" s="1"/>
  <c r="AZ9" i="8"/>
  <c r="AY9" i="8"/>
  <c r="AP9" i="8"/>
  <c r="P9" i="8" s="1"/>
  <c r="AG9" i="8"/>
  <c r="AA9" i="8"/>
  <c r="U9" i="8"/>
  <c r="W9" i="8" s="1"/>
  <c r="O9" i="8"/>
  <c r="Q9" i="8" s="1"/>
  <c r="N9" i="8"/>
  <c r="CJ8" i="8"/>
  <c r="CF8" i="8"/>
  <c r="CD8" i="8"/>
  <c r="BU8" i="8"/>
  <c r="BZ8" i="8" s="1"/>
  <c r="BR8" i="8"/>
  <c r="BI8" i="8"/>
  <c r="BB8" i="8"/>
  <c r="BD8" i="8" s="1"/>
  <c r="AZ8" i="8"/>
  <c r="AY8" i="8"/>
  <c r="AP8" i="8"/>
  <c r="P8" i="8" s="1"/>
  <c r="AG8" i="8"/>
  <c r="AA8" i="8"/>
  <c r="U8" i="8"/>
  <c r="W8" i="8" s="1"/>
  <c r="O8" i="8"/>
  <c r="Q8" i="8" s="1"/>
  <c r="N8" i="8"/>
  <c r="CJ7" i="8"/>
  <c r="CF7" i="8"/>
  <c r="CD7" i="8"/>
  <c r="BU7" i="8"/>
  <c r="BZ7" i="8" s="1"/>
  <c r="BR7" i="8"/>
  <c r="BI7" i="8"/>
  <c r="BB7" i="8"/>
  <c r="BD7" i="8" s="1"/>
  <c r="AZ7" i="8"/>
  <c r="AY7" i="8"/>
  <c r="AP7" i="8"/>
  <c r="P7" i="8" s="1"/>
  <c r="AG7" i="8"/>
  <c r="AJ7" i="8" s="1"/>
  <c r="AE7" i="8"/>
  <c r="AA7" i="8"/>
  <c r="Y7" i="8"/>
  <c r="U7" i="8"/>
  <c r="W7" i="8" s="1"/>
  <c r="O7" i="8"/>
  <c r="Q7" i="8" s="1"/>
  <c r="N7" i="8"/>
  <c r="CJ6" i="8"/>
  <c r="CF6" i="8"/>
  <c r="CD6" i="8"/>
  <c r="BU6" i="8"/>
  <c r="BZ6" i="8" s="1"/>
  <c r="BR6" i="8"/>
  <c r="BI6" i="8"/>
  <c r="BB6" i="8"/>
  <c r="BD6" i="8" s="1"/>
  <c r="AZ6" i="8"/>
  <c r="AY6" i="8"/>
  <c r="AP6" i="8"/>
  <c r="P6" i="8" s="1"/>
  <c r="AG6" i="8"/>
  <c r="AJ6" i="8" s="1"/>
  <c r="AA6" i="8"/>
  <c r="U6" i="8"/>
  <c r="W6" i="8" s="1"/>
  <c r="O6" i="8"/>
  <c r="Q6" i="8" s="1"/>
  <c r="N6" i="8"/>
  <c r="AM7" i="109" l="1"/>
  <c r="J6" i="109"/>
  <c r="J12" i="109"/>
  <c r="J20" i="109"/>
  <c r="J25" i="109"/>
  <c r="J17" i="109"/>
  <c r="J23" i="109"/>
  <c r="J13" i="109"/>
  <c r="J7" i="109"/>
  <c r="BF8" i="8"/>
  <c r="AL8" i="109"/>
  <c r="AM8" i="109" s="1"/>
  <c r="J8" i="109" s="1"/>
  <c r="AL21" i="109"/>
  <c r="AM21" i="109" s="1"/>
  <c r="J21" i="109" s="1"/>
  <c r="AL24" i="109"/>
  <c r="AM24" i="109" s="1"/>
  <c r="J24" i="109" s="1"/>
  <c r="J15" i="109"/>
  <c r="AL16" i="109"/>
  <c r="AM16" i="109" s="1"/>
  <c r="J16" i="109" s="1"/>
  <c r="AL10" i="109"/>
  <c r="AM10" i="109" s="1"/>
  <c r="J10" i="109" s="1"/>
  <c r="J5" i="109"/>
  <c r="AL22" i="109"/>
  <c r="AM22" i="109" s="1"/>
  <c r="J22" i="109" s="1"/>
  <c r="AL11" i="109"/>
  <c r="AM11" i="109" s="1"/>
  <c r="J11" i="109" s="1"/>
  <c r="AL14" i="109"/>
  <c r="AM14" i="109" s="1"/>
  <c r="J14" i="109" s="1"/>
  <c r="J18" i="109"/>
  <c r="AL9" i="109"/>
  <c r="AM9" i="109" s="1"/>
  <c r="J9" i="109" s="1"/>
  <c r="J23" i="8"/>
  <c r="J24" i="8"/>
  <c r="BF13" i="8"/>
  <c r="BF6" i="8"/>
  <c r="BF7" i="8"/>
  <c r="BF11" i="8"/>
  <c r="BF15" i="8"/>
  <c r="BF19" i="8"/>
  <c r="BF16" i="8"/>
  <c r="AC6" i="8"/>
  <c r="AI6" i="8" s="1"/>
  <c r="AL6" i="8" s="1"/>
  <c r="AC18" i="8"/>
  <c r="AI18" i="8" s="1"/>
  <c r="AL18" i="8" s="1"/>
  <c r="AM18" i="8" s="1"/>
  <c r="AC8" i="8"/>
  <c r="AE8" i="8" s="1"/>
  <c r="AF8" i="8" s="1"/>
  <c r="AC9" i="8"/>
  <c r="AI9" i="8" s="1"/>
  <c r="AL9" i="8" s="1"/>
  <c r="AC10" i="8"/>
  <c r="AI10" i="8" s="1"/>
  <c r="AC11" i="8"/>
  <c r="AI11" i="8" s="1"/>
  <c r="AL11" i="8" s="1"/>
  <c r="AI8" i="8"/>
  <c r="AL8" i="8" s="1"/>
  <c r="AC20" i="8"/>
  <c r="AI20" i="8" s="1"/>
  <c r="AL20" i="8" s="1"/>
  <c r="AM20" i="8" s="1"/>
  <c r="AC19" i="8"/>
  <c r="AI19" i="8" s="1"/>
  <c r="AL19" i="8" s="1"/>
  <c r="AC14" i="8"/>
  <c r="AI14" i="8" s="1"/>
  <c r="AL14" i="8" s="1"/>
  <c r="AM14" i="8" s="1"/>
  <c r="AC15" i="8"/>
  <c r="AI15" i="8" s="1"/>
  <c r="AL15" i="8" s="1"/>
  <c r="AC16" i="8"/>
  <c r="AI16" i="8" s="1"/>
  <c r="AL16" i="8" s="1"/>
  <c r="AM16" i="8" s="1"/>
  <c r="AC22" i="8"/>
  <c r="AI22" i="8" s="1"/>
  <c r="AL22" i="8" s="1"/>
  <c r="AC12" i="8"/>
  <c r="AI12" i="8" s="1"/>
  <c r="AL12" i="8" s="1"/>
  <c r="AC13" i="8"/>
  <c r="AI13" i="8" s="1"/>
  <c r="AL13" i="8" s="1"/>
  <c r="AC17" i="8"/>
  <c r="AI17" i="8" s="1"/>
  <c r="AL17" i="8" s="1"/>
  <c r="AM17" i="8" s="1"/>
  <c r="AC21" i="8"/>
  <c r="AI21" i="8" s="1"/>
  <c r="AL21" i="8" s="1"/>
  <c r="AM21" i="8" s="1"/>
  <c r="AC7" i="8"/>
  <c r="AI7" i="8" s="1"/>
  <c r="AL7" i="8" s="1"/>
  <c r="AM7" i="8" s="1"/>
  <c r="S6" i="8"/>
  <c r="T6" i="8" s="1"/>
  <c r="S7" i="8"/>
  <c r="T7" i="8" s="1"/>
  <c r="Y6" i="8"/>
  <c r="Z6" i="8" s="1"/>
  <c r="Z7" i="8"/>
  <c r="AF7" i="8"/>
  <c r="Y8" i="8"/>
  <c r="Z8" i="8" s="1"/>
  <c r="S9" i="8"/>
  <c r="T9" i="8" s="1"/>
  <c r="Y9" i="8"/>
  <c r="Z9" i="8" s="1"/>
  <c r="S10" i="8"/>
  <c r="T10" i="8" s="1"/>
  <c r="Y10" i="8"/>
  <c r="Z10" i="8" s="1"/>
  <c r="AL10" i="8"/>
  <c r="S11" i="8"/>
  <c r="T11" i="8" s="1"/>
  <c r="Y11" i="8"/>
  <c r="Z11" i="8" s="1"/>
  <c r="S12" i="8"/>
  <c r="T12" i="8" s="1"/>
  <c r="Y12" i="8"/>
  <c r="Z12" i="8" s="1"/>
  <c r="S13" i="8"/>
  <c r="T13" i="8" s="1"/>
  <c r="Y13" i="8"/>
  <c r="Z13" i="8" s="1"/>
  <c r="S8" i="8"/>
  <c r="T8" i="8" s="1"/>
  <c r="S14" i="8"/>
  <c r="T14" i="8" s="1"/>
  <c r="AJ8" i="8"/>
  <c r="AJ9" i="8"/>
  <c r="AJ10" i="8"/>
  <c r="AJ11" i="8"/>
  <c r="AJ12" i="8"/>
  <c r="AJ13" i="8"/>
  <c r="S16" i="8"/>
  <c r="T16" i="8" s="1"/>
  <c r="S18" i="8"/>
  <c r="T18" i="8" s="1"/>
  <c r="S20" i="8"/>
  <c r="T20" i="8" s="1"/>
  <c r="S22" i="8"/>
  <c r="T22" i="8" s="1"/>
  <c r="Z14" i="8"/>
  <c r="S15" i="8"/>
  <c r="T15" i="8" s="1"/>
  <c r="S17" i="8"/>
  <c r="T17" i="8" s="1"/>
  <c r="S19" i="8"/>
  <c r="T19" i="8" s="1"/>
  <c r="S21" i="8"/>
  <c r="T21" i="8" s="1"/>
  <c r="Y15" i="8"/>
  <c r="Z15" i="8" s="1"/>
  <c r="AE15" i="8"/>
  <c r="AF15" i="8" s="1"/>
  <c r="Y16" i="8"/>
  <c r="Z16" i="8" s="1"/>
  <c r="Y17" i="8"/>
  <c r="Z17" i="8" s="1"/>
  <c r="Y18" i="8"/>
  <c r="Z18" i="8" s="1"/>
  <c r="Y19" i="8"/>
  <c r="Z19" i="8" s="1"/>
  <c r="Y20" i="8"/>
  <c r="Z20" i="8" s="1"/>
  <c r="Y21" i="8"/>
  <c r="Z21" i="8" s="1"/>
  <c r="Y22" i="8"/>
  <c r="Z22" i="8" s="1"/>
  <c r="AE22" i="8"/>
  <c r="AF22" i="8" s="1"/>
  <c r="A28" i="107"/>
  <c r="E27" i="107"/>
  <c r="C27" i="107"/>
  <c r="C26" i="107"/>
  <c r="C25" i="107"/>
  <c r="C24" i="107"/>
  <c r="C12" i="107"/>
  <c r="C11" i="107"/>
  <c r="C10" i="107"/>
  <c r="C9" i="107"/>
  <c r="C8" i="107"/>
  <c r="C7" i="107"/>
  <c r="C6" i="107"/>
  <c r="A6" i="107"/>
  <c r="A7" i="107" s="1"/>
  <c r="A8" i="107" s="1"/>
  <c r="A9" i="107" s="1"/>
  <c r="A10" i="107" s="1"/>
  <c r="A11" i="107" s="1"/>
  <c r="A12" i="107" s="1"/>
  <c r="A23" i="107" s="1"/>
  <c r="A24" i="107" s="1"/>
  <c r="A25" i="107" s="1"/>
  <c r="A26" i="107" s="1"/>
  <c r="A27" i="107" s="1"/>
  <c r="E5" i="107"/>
  <c r="D3" i="107"/>
  <c r="G2" i="107"/>
  <c r="D2" i="107"/>
  <c r="D1" i="107"/>
  <c r="E14" i="106"/>
  <c r="C14" i="106"/>
  <c r="E13" i="106"/>
  <c r="C13" i="106"/>
  <c r="C12" i="106"/>
  <c r="C11" i="106"/>
  <c r="C10" i="106"/>
  <c r="C9" i="106"/>
  <c r="C8" i="106"/>
  <c r="C7" i="106"/>
  <c r="C6" i="106"/>
  <c r="A6" i="106"/>
  <c r="A7" i="106" s="1"/>
  <c r="A8" i="106" s="1"/>
  <c r="A9" i="106" s="1"/>
  <c r="A10" i="106" s="1"/>
  <c r="A11" i="106" s="1"/>
  <c r="A12" i="106" s="1"/>
  <c r="A13" i="106" s="1"/>
  <c r="A14" i="106" s="1"/>
  <c r="E5" i="106"/>
  <c r="D3" i="106"/>
  <c r="G2" i="106"/>
  <c r="D2" i="106"/>
  <c r="D1" i="106"/>
  <c r="E14" i="105"/>
  <c r="C14" i="105"/>
  <c r="C13" i="105"/>
  <c r="C12" i="105"/>
  <c r="C11" i="105"/>
  <c r="C10" i="105"/>
  <c r="C9" i="105"/>
  <c r="E8" i="105"/>
  <c r="C8" i="105"/>
  <c r="C7" i="105"/>
  <c r="C6" i="105"/>
  <c r="A6" i="105"/>
  <c r="A7" i="105" s="1"/>
  <c r="A8" i="105" s="1"/>
  <c r="A9" i="105" s="1"/>
  <c r="A10" i="105" s="1"/>
  <c r="A11" i="105" s="1"/>
  <c r="A12" i="105" s="1"/>
  <c r="D3" i="105"/>
  <c r="G2" i="105"/>
  <c r="D2" i="105"/>
  <c r="D1" i="105"/>
  <c r="C6" i="104"/>
  <c r="A6" i="104"/>
  <c r="E5" i="104"/>
  <c r="D3" i="104"/>
  <c r="G2" i="104"/>
  <c r="D2" i="104"/>
  <c r="D1" i="104"/>
  <c r="B69" i="80"/>
  <c r="B108" i="80"/>
  <c r="B87" i="80"/>
  <c r="C4" i="95"/>
  <c r="B75" i="80"/>
  <c r="B126" i="80"/>
  <c r="C103" i="80"/>
  <c r="C4" i="90"/>
  <c r="B120" i="80"/>
  <c r="B78" i="80"/>
  <c r="B102" i="80"/>
  <c r="B99" i="80"/>
  <c r="B81" i="80"/>
  <c r="B114" i="80"/>
  <c r="B111" i="80"/>
  <c r="B90" i="80"/>
  <c r="B96" i="80"/>
  <c r="C106" i="80"/>
  <c r="B105" i="80"/>
  <c r="C4" i="78"/>
  <c r="B66" i="80"/>
  <c r="C4" i="74"/>
  <c r="C4" i="83"/>
  <c r="C112" i="80"/>
  <c r="C4" i="85"/>
  <c r="B93" i="80"/>
  <c r="C4" i="91"/>
  <c r="B84" i="80"/>
  <c r="C109" i="80"/>
  <c r="B72" i="80"/>
  <c r="B123" i="80"/>
  <c r="C4" i="80"/>
  <c r="B117" i="80"/>
  <c r="B63" i="80"/>
  <c r="C4" i="77"/>
  <c r="AE13" i="8" l="1"/>
  <c r="AF13" i="8" s="1"/>
  <c r="AM15" i="8"/>
  <c r="AE16" i="8"/>
  <c r="AF16" i="8" s="1"/>
  <c r="AE20" i="8"/>
  <c r="AF20" i="8" s="1"/>
  <c r="AE17" i="8"/>
  <c r="AF17" i="8" s="1"/>
  <c r="AM12" i="8"/>
  <c r="AE9" i="8"/>
  <c r="AF9" i="8" s="1"/>
  <c r="AE18" i="8"/>
  <c r="AF18" i="8" s="1"/>
  <c r="AE21" i="8"/>
  <c r="AF21" i="8" s="1"/>
  <c r="AE11" i="8"/>
  <c r="AF11" i="8" s="1"/>
  <c r="AM6" i="8"/>
  <c r="AE12" i="8"/>
  <c r="AF12" i="8" s="1"/>
  <c r="AM19" i="8"/>
  <c r="AM22" i="8"/>
  <c r="AE19" i="8"/>
  <c r="AF19" i="8" s="1"/>
  <c r="AE10" i="8"/>
  <c r="AF10" i="8" s="1"/>
  <c r="AE6" i="8"/>
  <c r="AF6" i="8" s="1"/>
  <c r="AE14" i="8"/>
  <c r="AF14" i="8" s="1"/>
  <c r="AM13" i="8"/>
  <c r="AM11" i="8"/>
  <c r="AM8" i="8"/>
  <c r="AM10" i="8"/>
  <c r="AM9" i="8"/>
  <c r="A13" i="105"/>
  <c r="A14" i="105"/>
  <c r="A12" i="95"/>
  <c r="A15" i="95" s="1"/>
  <c r="A18" i="95" s="1"/>
  <c r="A21" i="95" s="1"/>
  <c r="A24" i="95" s="1"/>
  <c r="A27" i="95" s="1"/>
  <c r="A30" i="95" s="1"/>
  <c r="A33" i="95" s="1"/>
  <c r="A36" i="95" s="1"/>
  <c r="A39" i="95" s="1"/>
  <c r="A42" i="95" s="1"/>
  <c r="A45" i="95" s="1"/>
  <c r="A48" i="95" s="1"/>
  <c r="A51" i="95" s="1"/>
  <c r="A54" i="95" s="1"/>
  <c r="A57" i="95" s="1"/>
  <c r="A60" i="95" s="1"/>
  <c r="A63" i="95" s="1"/>
  <c r="A66" i="95" s="1"/>
  <c r="A69" i="95" s="1"/>
  <c r="A72" i="95" s="1"/>
  <c r="A75" i="95" s="1"/>
  <c r="A78" i="95" s="1"/>
  <c r="A81" i="95" s="1"/>
  <c r="A84" i="95" s="1"/>
  <c r="A87" i="95" s="1"/>
  <c r="A90" i="95" s="1"/>
  <c r="A93" i="95" s="1"/>
  <c r="A96" i="95" s="1"/>
  <c r="A99" i="95" s="1"/>
  <c r="A102" i="95" s="1"/>
  <c r="A105" i="95" s="1"/>
  <c r="A108" i="95" s="1"/>
  <c r="A111" i="95" s="1"/>
  <c r="A114" i="95" s="1"/>
  <c r="A117" i="95" s="1"/>
  <c r="A120" i="95" s="1"/>
  <c r="A123" i="95" s="1"/>
  <c r="A126" i="95" s="1"/>
  <c r="A1" i="95"/>
  <c r="A2" i="99"/>
  <c r="A2" i="98"/>
  <c r="A2" i="103"/>
  <c r="C4" i="75"/>
  <c r="A5" i="102"/>
  <c r="A3" i="102"/>
  <c r="A5" i="100"/>
  <c r="C4" i="81"/>
  <c r="A4" i="103"/>
  <c r="A5" i="98"/>
  <c r="A3" i="98"/>
  <c r="A4" i="100"/>
  <c r="A2" i="101"/>
  <c r="A5" i="101"/>
  <c r="A3" i="99"/>
  <c r="A4" i="102"/>
  <c r="A4" i="99"/>
  <c r="A4" i="101"/>
  <c r="A5" i="99"/>
  <c r="A2" i="100"/>
  <c r="C4" i="76"/>
  <c r="A3" i="101"/>
  <c r="A5" i="103"/>
  <c r="A2" i="102"/>
  <c r="A3" i="100"/>
  <c r="A4" i="98"/>
  <c r="A3" i="103"/>
  <c r="E27" i="87" l="1"/>
  <c r="A28" i="87"/>
  <c r="A25" i="26"/>
  <c r="BP3" i="8"/>
  <c r="A23" i="7"/>
  <c r="E5" i="87"/>
  <c r="A19" i="7"/>
  <c r="B2" i="64"/>
  <c r="BG3" i="8"/>
  <c r="A23" i="26"/>
  <c r="A21" i="26"/>
  <c r="E13" i="53"/>
  <c r="E5" i="53"/>
  <c r="A13" i="7"/>
  <c r="AW3" i="8"/>
  <c r="A18" i="26"/>
  <c r="A16" i="26"/>
  <c r="AZ5" i="8"/>
  <c r="G18" i="26"/>
  <c r="E8" i="88"/>
  <c r="A9" i="7"/>
  <c r="B2" i="86"/>
  <c r="AN3" i="8"/>
  <c r="A15" i="26"/>
  <c r="A14" i="26"/>
  <c r="E5" i="58"/>
  <c r="A13" i="26"/>
  <c r="Q1" i="76"/>
  <c r="Q1" i="75"/>
  <c r="A1" i="103"/>
  <c r="Q1" i="90"/>
  <c r="A1" i="98"/>
  <c r="Q1" i="77"/>
  <c r="Q1" i="80"/>
  <c r="A1" i="100"/>
  <c r="Q1" i="83"/>
  <c r="A1" i="101"/>
  <c r="Q1" i="95"/>
  <c r="Q1" i="74"/>
  <c r="Q1" i="85"/>
  <c r="A1" i="99"/>
  <c r="D13" i="64" l="1"/>
  <c r="D12" i="64"/>
  <c r="D11" i="64"/>
  <c r="D10" i="64"/>
  <c r="D9" i="64"/>
  <c r="D8" i="64"/>
  <c r="D7" i="64"/>
  <c r="D6" i="64"/>
  <c r="D9" i="86"/>
  <c r="D8" i="86"/>
  <c r="D7" i="86"/>
  <c r="D6" i="86"/>
  <c r="C26" i="87" l="1"/>
  <c r="C13" i="53"/>
  <c r="C12" i="53"/>
  <c r="C11" i="53"/>
  <c r="C10" i="53"/>
  <c r="C9" i="53"/>
  <c r="C8" i="53"/>
  <c r="C7" i="53"/>
  <c r="E18" i="9"/>
  <c r="C24" i="87" l="1"/>
  <c r="D14" i="9" l="1"/>
  <c r="G25" i="107" l="1"/>
  <c r="G23" i="107"/>
  <c r="G5" i="107"/>
  <c r="G9" i="107"/>
  <c r="G12" i="107"/>
  <c r="G10" i="107"/>
  <c r="G8" i="107"/>
  <c r="G6" i="107"/>
  <c r="G26" i="107"/>
  <c r="G24" i="107"/>
  <c r="G1" i="107"/>
  <c r="G27" i="107"/>
  <c r="G11" i="107"/>
  <c r="G7" i="107"/>
  <c r="G23" i="87"/>
  <c r="G26" i="87"/>
  <c r="C12" i="87"/>
  <c r="C11" i="87"/>
  <c r="C10" i="87"/>
  <c r="C9" i="87"/>
  <c r="C8" i="87"/>
  <c r="C7" i="87"/>
  <c r="E15" i="93"/>
  <c r="C15" i="93"/>
  <c r="C14" i="93"/>
  <c r="C13" i="93"/>
  <c r="C12" i="93"/>
  <c r="C11" i="93"/>
  <c r="C10" i="93"/>
  <c r="C9" i="93"/>
  <c r="C8" i="93"/>
  <c r="C7" i="93"/>
  <c r="C6" i="93"/>
  <c r="A6" i="93"/>
  <c r="A7" i="93" s="1"/>
  <c r="A8" i="93" s="1"/>
  <c r="A9" i="93" s="1"/>
  <c r="A10" i="93" s="1"/>
  <c r="A11" i="93" s="1"/>
  <c r="A12" i="93" s="1"/>
  <c r="A13" i="93" s="1"/>
  <c r="A14" i="93" s="1"/>
  <c r="A15" i="93" s="1"/>
  <c r="E5" i="93"/>
  <c r="D3" i="93"/>
  <c r="G2" i="93"/>
  <c r="D2" i="93"/>
  <c r="D1" i="93"/>
  <c r="E15" i="59" l="1"/>
  <c r="D12" i="9"/>
  <c r="G15" i="59" s="1"/>
  <c r="C14" i="59"/>
  <c r="B14" i="26"/>
  <c r="B18" i="26"/>
  <c r="G6" i="59" l="1"/>
  <c r="G9" i="59"/>
  <c r="G11" i="59"/>
  <c r="G14" i="59"/>
  <c r="G7" i="59"/>
  <c r="G10" i="59"/>
  <c r="G13" i="59"/>
  <c r="G5" i="93"/>
  <c r="G14" i="93"/>
  <c r="G12" i="93"/>
  <c r="G10" i="93"/>
  <c r="G8" i="93"/>
  <c r="G6" i="93"/>
  <c r="G1" i="93"/>
  <c r="G15" i="93"/>
  <c r="G13" i="93"/>
  <c r="G11" i="93"/>
  <c r="G9" i="93"/>
  <c r="G7" i="93"/>
  <c r="G8" i="59"/>
  <c r="G12" i="59"/>
  <c r="H10" i="9"/>
  <c r="E5" i="59" l="1"/>
  <c r="C14" i="53"/>
  <c r="D11" i="9"/>
  <c r="E14" i="53"/>
  <c r="C6" i="53"/>
  <c r="A6" i="53"/>
  <c r="A7" i="53" s="1"/>
  <c r="A8" i="53" s="1"/>
  <c r="A9" i="53" s="1"/>
  <c r="A10" i="53" s="1"/>
  <c r="A11" i="53" s="1"/>
  <c r="A12" i="53" s="1"/>
  <c r="A13" i="53" s="1"/>
  <c r="A14" i="53" s="1"/>
  <c r="C14" i="88"/>
  <c r="C13" i="88"/>
  <c r="C12" i="88"/>
  <c r="D9" i="9"/>
  <c r="E14" i="88"/>
  <c r="C11" i="88"/>
  <c r="C10" i="88"/>
  <c r="C9" i="88"/>
  <c r="C8" i="88"/>
  <c r="C7" i="88"/>
  <c r="A6" i="88"/>
  <c r="A7" i="88" s="1"/>
  <c r="A8" i="88" s="1"/>
  <c r="A9" i="88" s="1"/>
  <c r="C6" i="88"/>
  <c r="B3" i="92"/>
  <c r="D2" i="92"/>
  <c r="B2" i="92"/>
  <c r="B1" i="92"/>
  <c r="D1" i="8"/>
  <c r="G14" i="106" l="1"/>
  <c r="G11" i="106"/>
  <c r="G9" i="106"/>
  <c r="G7" i="106"/>
  <c r="G1" i="106"/>
  <c r="G6" i="106"/>
  <c r="G12" i="106"/>
  <c r="G10" i="106"/>
  <c r="G8" i="106"/>
  <c r="G5" i="106"/>
  <c r="G13" i="106"/>
  <c r="G6" i="105"/>
  <c r="G1" i="105"/>
  <c r="G9" i="105"/>
  <c r="G12" i="105"/>
  <c r="G10" i="105"/>
  <c r="G8" i="105"/>
  <c r="G5" i="105"/>
  <c r="G13" i="105"/>
  <c r="G11" i="105"/>
  <c r="G14" i="105"/>
  <c r="G7" i="105"/>
  <c r="G6" i="104"/>
  <c r="G1" i="104"/>
  <c r="G14" i="53"/>
  <c r="G12" i="53"/>
  <c r="G10" i="53"/>
  <c r="G8" i="53"/>
  <c r="G6" i="53"/>
  <c r="G13" i="53"/>
  <c r="G11" i="53"/>
  <c r="G9" i="53"/>
  <c r="G7" i="53"/>
  <c r="G14" i="88"/>
  <c r="D18" i="9"/>
  <c r="D1" i="92"/>
  <c r="G5" i="88"/>
  <c r="B19" i="26"/>
  <c r="G13" i="88"/>
  <c r="G12" i="88"/>
  <c r="G6" i="88"/>
  <c r="G8" i="88"/>
  <c r="G10" i="88"/>
  <c r="G7" i="88"/>
  <c r="G9" i="88"/>
  <c r="G11" i="88"/>
  <c r="A12" i="91" l="1"/>
  <c r="A15" i="91" s="1"/>
  <c r="A18" i="91" s="1"/>
  <c r="A21" i="91" s="1"/>
  <c r="A24" i="91" s="1"/>
  <c r="A27" i="91" s="1"/>
  <c r="A30" i="91" s="1"/>
  <c r="A33" i="91" s="1"/>
  <c r="A36" i="91" s="1"/>
  <c r="A39" i="91" s="1"/>
  <c r="A42" i="91" s="1"/>
  <c r="A45" i="91" s="1"/>
  <c r="A48" i="91" s="1"/>
  <c r="A51" i="91" s="1"/>
  <c r="A54" i="91" s="1"/>
  <c r="A57" i="91" s="1"/>
  <c r="A60" i="91" s="1"/>
  <c r="A63" i="91" s="1"/>
  <c r="A66" i="91" s="1"/>
  <c r="A69" i="91" s="1"/>
  <c r="A72" i="91" s="1"/>
  <c r="A75" i="91" s="1"/>
  <c r="A78" i="91" s="1"/>
  <c r="A81" i="91" s="1"/>
  <c r="A84" i="91" s="1"/>
  <c r="A87" i="91" s="1"/>
  <c r="A90" i="91" s="1"/>
  <c r="A93" i="91" s="1"/>
  <c r="A96" i="91" s="1"/>
  <c r="A99" i="91" s="1"/>
  <c r="A102" i="91" s="1"/>
  <c r="A105" i="91" s="1"/>
  <c r="A108" i="91" s="1"/>
  <c r="A111" i="91" s="1"/>
  <c r="A114" i="91" s="1"/>
  <c r="A117" i="91" s="1"/>
  <c r="A120" i="91" s="1"/>
  <c r="A123" i="91" s="1"/>
  <c r="A126" i="91" s="1"/>
  <c r="A1" i="91"/>
  <c r="A12" i="90"/>
  <c r="A15" i="90" s="1"/>
  <c r="A18" i="90" s="1"/>
  <c r="A21" i="90" s="1"/>
  <c r="A24" i="90" s="1"/>
  <c r="A27" i="90" s="1"/>
  <c r="A30" i="90" s="1"/>
  <c r="A33" i="90" s="1"/>
  <c r="A36" i="90" s="1"/>
  <c r="A39" i="90" s="1"/>
  <c r="A42" i="90" s="1"/>
  <c r="A45" i="90" s="1"/>
  <c r="A48" i="90" s="1"/>
  <c r="A51" i="90" s="1"/>
  <c r="A54" i="90" s="1"/>
  <c r="A57" i="90" s="1"/>
  <c r="A60" i="90" s="1"/>
  <c r="A63" i="90" s="1"/>
  <c r="A66" i="90" s="1"/>
  <c r="A69" i="90" s="1"/>
  <c r="A72" i="90" s="1"/>
  <c r="A75" i="90" s="1"/>
  <c r="A78" i="90" s="1"/>
  <c r="A81" i="90" s="1"/>
  <c r="A84" i="90" s="1"/>
  <c r="A87" i="90" s="1"/>
  <c r="A90" i="90" s="1"/>
  <c r="A93" i="90" s="1"/>
  <c r="A96" i="90" s="1"/>
  <c r="A99" i="90" s="1"/>
  <c r="A102" i="90" s="1"/>
  <c r="A105" i="90" s="1"/>
  <c r="A108" i="90" s="1"/>
  <c r="A111" i="90" s="1"/>
  <c r="A114" i="90" s="1"/>
  <c r="A117" i="90" s="1"/>
  <c r="A120" i="90" s="1"/>
  <c r="A123" i="90" s="1"/>
  <c r="A126" i="90" s="1"/>
  <c r="A1" i="90"/>
  <c r="B3" i="89" l="1"/>
  <c r="D2" i="89"/>
  <c r="B2" i="89"/>
  <c r="B1" i="89"/>
  <c r="A10" i="88"/>
  <c r="A11" i="88" s="1"/>
  <c r="A12" i="88" s="1"/>
  <c r="D3" i="88"/>
  <c r="G2" i="88"/>
  <c r="D2" i="88"/>
  <c r="D1" i="88"/>
  <c r="G5" i="53"/>
  <c r="G5" i="59"/>
  <c r="G2" i="59"/>
  <c r="G1" i="59"/>
  <c r="D3" i="59"/>
  <c r="D2" i="59"/>
  <c r="G2" i="53"/>
  <c r="G1" i="53"/>
  <c r="D3" i="53"/>
  <c r="G27" i="87"/>
  <c r="C27" i="87"/>
  <c r="G25" i="87"/>
  <c r="C25" i="87"/>
  <c r="G24" i="87"/>
  <c r="G12" i="87"/>
  <c r="G11" i="87"/>
  <c r="G10" i="87"/>
  <c r="G9" i="87"/>
  <c r="G8" i="87"/>
  <c r="G7" i="87"/>
  <c r="G6" i="87"/>
  <c r="C6" i="87"/>
  <c r="A6" i="87"/>
  <c r="A7" i="87" s="1"/>
  <c r="A8" i="87" s="1"/>
  <c r="A9" i="87" s="1"/>
  <c r="A10" i="87" s="1"/>
  <c r="A11" i="87" s="1"/>
  <c r="A12" i="87" s="1"/>
  <c r="A23" i="87" s="1"/>
  <c r="G5" i="87"/>
  <c r="D3" i="87"/>
  <c r="G2" i="87"/>
  <c r="D2" i="87"/>
  <c r="G1" i="87"/>
  <c r="D1" i="87"/>
  <c r="H13" i="26"/>
  <c r="H14" i="26"/>
  <c r="H16" i="26"/>
  <c r="H17" i="26"/>
  <c r="H19" i="26"/>
  <c r="H20" i="26"/>
  <c r="H21" i="26"/>
  <c r="H22" i="26"/>
  <c r="H24" i="26"/>
  <c r="C13" i="26"/>
  <c r="C14" i="26"/>
  <c r="C15" i="26"/>
  <c r="C18" i="26"/>
  <c r="C19" i="26"/>
  <c r="C23" i="26"/>
  <c r="A19" i="26"/>
  <c r="AP5" i="8"/>
  <c r="P5" i="8" s="1"/>
  <c r="A28" i="7"/>
  <c r="P13" i="7"/>
  <c r="A15" i="7"/>
  <c r="H9" i="86"/>
  <c r="H8" i="86"/>
  <c r="H7" i="86"/>
  <c r="H6" i="86"/>
  <c r="D5" i="86"/>
  <c r="H5" i="86"/>
  <c r="B1" i="86"/>
  <c r="U5" i="8"/>
  <c r="W5" i="8" s="1"/>
  <c r="W3" i="8"/>
  <c r="F11" i="9"/>
  <c r="A17" i="7"/>
  <c r="P16" i="7"/>
  <c r="AC3" i="8"/>
  <c r="AA5" i="8"/>
  <c r="B21" i="26"/>
  <c r="C21" i="26" s="1"/>
  <c r="A21" i="7"/>
  <c r="P19" i="7"/>
  <c r="AG5" i="8"/>
  <c r="AI3" i="8"/>
  <c r="A20" i="9"/>
  <c r="B25" i="26"/>
  <c r="B24" i="26"/>
  <c r="C24" i="26" s="1"/>
  <c r="A24" i="26"/>
  <c r="Q1" i="78"/>
  <c r="Q1" i="91"/>
  <c r="A1" i="102"/>
  <c r="G3" i="53" l="1"/>
  <c r="G3" i="106"/>
  <c r="AC5" i="8"/>
  <c r="A14" i="88"/>
  <c r="A13" i="88"/>
  <c r="I5" i="86"/>
  <c r="I9" i="86"/>
  <c r="A24" i="87"/>
  <c r="A25" i="87" s="1"/>
  <c r="A26" i="87" s="1"/>
  <c r="A27" i="87" s="1"/>
  <c r="D18" i="26"/>
  <c r="E18" i="26" s="1"/>
  <c r="D19" i="26"/>
  <c r="E19" i="26" s="1"/>
  <c r="I7" i="86"/>
  <c r="C25" i="26"/>
  <c r="I6" i="86"/>
  <c r="I8" i="86"/>
  <c r="Y5" i="8"/>
  <c r="Z5" i="8" s="1"/>
  <c r="H25" i="26"/>
  <c r="A12" i="85"/>
  <c r="A15" i="85" s="1"/>
  <c r="A18" i="85" s="1"/>
  <c r="A21" i="85" s="1"/>
  <c r="A24" i="85" s="1"/>
  <c r="A27" i="85" s="1"/>
  <c r="A30" i="85" s="1"/>
  <c r="A33" i="85" s="1"/>
  <c r="A36" i="85" s="1"/>
  <c r="A39" i="85" s="1"/>
  <c r="A42" i="85" s="1"/>
  <c r="A45" i="85" s="1"/>
  <c r="A48" i="85" s="1"/>
  <c r="A51" i="85" s="1"/>
  <c r="A54" i="85" s="1"/>
  <c r="A57" i="85" s="1"/>
  <c r="A60" i="85" s="1"/>
  <c r="A63" i="85" s="1"/>
  <c r="A66" i="85" s="1"/>
  <c r="A69" i="85" s="1"/>
  <c r="A72" i="85" s="1"/>
  <c r="A75" i="85" s="1"/>
  <c r="A78" i="85" s="1"/>
  <c r="A81" i="85" s="1"/>
  <c r="A84" i="85" s="1"/>
  <c r="A87" i="85" s="1"/>
  <c r="A90" i="85" s="1"/>
  <c r="A93" i="85" s="1"/>
  <c r="A96" i="85" s="1"/>
  <c r="A99" i="85" s="1"/>
  <c r="A102" i="85" s="1"/>
  <c r="A105" i="85" s="1"/>
  <c r="A108" i="85" s="1"/>
  <c r="A111" i="85" s="1"/>
  <c r="A114" i="85" s="1"/>
  <c r="A117" i="85" s="1"/>
  <c r="A120" i="85" s="1"/>
  <c r="A123" i="85" s="1"/>
  <c r="A126" i="85" s="1"/>
  <c r="A1" i="85"/>
  <c r="M72" i="80"/>
  <c r="M9" i="80"/>
  <c r="M18" i="80"/>
  <c r="M120" i="80"/>
  <c r="M75" i="80"/>
  <c r="M111" i="80"/>
  <c r="M84" i="80"/>
  <c r="M51" i="80"/>
  <c r="M66" i="80"/>
  <c r="M63" i="80"/>
  <c r="M108" i="80"/>
  <c r="M93" i="80"/>
  <c r="M36" i="80"/>
  <c r="M27" i="80"/>
  <c r="M45" i="80"/>
  <c r="M126" i="80"/>
  <c r="M78" i="80"/>
  <c r="M39" i="80"/>
  <c r="M105" i="80"/>
  <c r="M60" i="80"/>
  <c r="M90" i="80"/>
  <c r="M117" i="80"/>
  <c r="M24" i="80"/>
  <c r="M57" i="80"/>
  <c r="M114" i="80"/>
  <c r="M12" i="80"/>
  <c r="M21" i="80"/>
  <c r="M30" i="80"/>
  <c r="M69" i="80"/>
  <c r="M42" i="80"/>
  <c r="M33" i="80"/>
  <c r="M102" i="80"/>
  <c r="M96" i="80"/>
  <c r="M123" i="80"/>
  <c r="M15" i="80"/>
  <c r="M48" i="80"/>
  <c r="M87" i="80"/>
  <c r="M99" i="80"/>
  <c r="M81" i="80"/>
  <c r="M54" i="80"/>
  <c r="I11" i="86" l="1"/>
  <c r="A12" i="83"/>
  <c r="A15" i="83" s="1"/>
  <c r="A18" i="83" s="1"/>
  <c r="A21" i="83" s="1"/>
  <c r="A24" i="83" s="1"/>
  <c r="A27" i="83" s="1"/>
  <c r="A30" i="83" s="1"/>
  <c r="A33" i="83" s="1"/>
  <c r="A36" i="83" s="1"/>
  <c r="A39" i="83" s="1"/>
  <c r="A42" i="83" s="1"/>
  <c r="A45" i="83" s="1"/>
  <c r="A48" i="83" s="1"/>
  <c r="A51" i="83" s="1"/>
  <c r="A54" i="83" s="1"/>
  <c r="A57" i="83" s="1"/>
  <c r="A60" i="83" s="1"/>
  <c r="A63" i="83" s="1"/>
  <c r="A66" i="83" s="1"/>
  <c r="A69" i="83" s="1"/>
  <c r="A72" i="83" s="1"/>
  <c r="A75" i="83" s="1"/>
  <c r="A78" i="83" s="1"/>
  <c r="A81" i="83" s="1"/>
  <c r="A84" i="83" s="1"/>
  <c r="A87" i="83" s="1"/>
  <c r="A90" i="83" s="1"/>
  <c r="A93" i="83" s="1"/>
  <c r="A96" i="83" s="1"/>
  <c r="A99" i="83" s="1"/>
  <c r="A102" i="83" s="1"/>
  <c r="A105" i="83" s="1"/>
  <c r="A108" i="83" s="1"/>
  <c r="A111" i="83" s="1"/>
  <c r="A114" i="83" s="1"/>
  <c r="A117" i="83" s="1"/>
  <c r="A120" i="83" s="1"/>
  <c r="A123" i="83" s="1"/>
  <c r="A126" i="83" s="1"/>
  <c r="A1" i="83"/>
  <c r="AQ20" i="8" l="1"/>
  <c r="AR20" i="8" s="1"/>
  <c r="AT20" i="8" s="1"/>
  <c r="AV20" i="8" s="1"/>
  <c r="AQ17" i="8"/>
  <c r="AR17" i="8" s="1"/>
  <c r="AT17" i="8" s="1"/>
  <c r="AV17" i="8" s="1"/>
  <c r="AQ6" i="8"/>
  <c r="AR6" i="8" s="1"/>
  <c r="AT6" i="8" s="1"/>
  <c r="AV6" i="8" s="1"/>
  <c r="AQ22" i="8"/>
  <c r="AR22" i="8" s="1"/>
  <c r="AT22" i="8" s="1"/>
  <c r="AV22" i="8" s="1"/>
  <c r="AQ19" i="8"/>
  <c r="AR19" i="8" s="1"/>
  <c r="AT19" i="8" s="1"/>
  <c r="AV19" i="8" s="1"/>
  <c r="AQ16" i="8"/>
  <c r="AR16" i="8" s="1"/>
  <c r="AT16" i="8" s="1"/>
  <c r="AV16" i="8" s="1"/>
  <c r="AQ21" i="8"/>
  <c r="AR21" i="8" s="1"/>
  <c r="AT21" i="8" s="1"/>
  <c r="AV21" i="8" s="1"/>
  <c r="AQ14" i="8"/>
  <c r="AR14" i="8" s="1"/>
  <c r="AT14" i="8" s="1"/>
  <c r="AV14" i="8" s="1"/>
  <c r="AQ13" i="8"/>
  <c r="AR13" i="8" s="1"/>
  <c r="AT13" i="8" s="1"/>
  <c r="AV13" i="8" s="1"/>
  <c r="AQ12" i="8"/>
  <c r="AR12" i="8" s="1"/>
  <c r="AT12" i="8" s="1"/>
  <c r="AV12" i="8" s="1"/>
  <c r="AQ11" i="8"/>
  <c r="AR11" i="8" s="1"/>
  <c r="AT11" i="8" s="1"/>
  <c r="AV11" i="8" s="1"/>
  <c r="AQ10" i="8"/>
  <c r="AR10" i="8" s="1"/>
  <c r="AT10" i="8" s="1"/>
  <c r="AV10" i="8" s="1"/>
  <c r="AQ9" i="8"/>
  <c r="AR9" i="8" s="1"/>
  <c r="AT9" i="8" s="1"/>
  <c r="AV9" i="8" s="1"/>
  <c r="AQ8" i="8"/>
  <c r="AR8" i="8" s="1"/>
  <c r="AT8" i="8" s="1"/>
  <c r="AV8" i="8" s="1"/>
  <c r="AQ7" i="8"/>
  <c r="AR7" i="8" s="1"/>
  <c r="AT7" i="8" s="1"/>
  <c r="AV7" i="8" s="1"/>
  <c r="AQ18" i="8"/>
  <c r="AR18" i="8" s="1"/>
  <c r="AT18" i="8" s="1"/>
  <c r="AV18" i="8" s="1"/>
  <c r="AQ15" i="8"/>
  <c r="AR15" i="8" s="1"/>
  <c r="AT15" i="8" s="1"/>
  <c r="AV15" i="8" s="1"/>
  <c r="G15" i="26"/>
  <c r="AQ5" i="8"/>
  <c r="AR5" i="8" s="1"/>
  <c r="AT5" i="8" s="1"/>
  <c r="AV5" i="8" s="1"/>
  <c r="I12" i="86"/>
  <c r="C22" i="82"/>
  <c r="C21" i="82"/>
  <c r="C20" i="82"/>
  <c r="C19" i="82"/>
  <c r="C18" i="82"/>
  <c r="C17" i="82"/>
  <c r="C16" i="82"/>
  <c r="C15" i="82"/>
  <c r="C14" i="82"/>
  <c r="C13" i="82"/>
  <c r="C12" i="82"/>
  <c r="C11" i="82"/>
  <c r="C10" i="82"/>
  <c r="C9" i="82"/>
  <c r="C8" i="82"/>
  <c r="C7" i="82"/>
  <c r="C6" i="82"/>
  <c r="F1" i="82"/>
  <c r="A5" i="82" l="1"/>
  <c r="A6" i="82" s="1"/>
  <c r="A7" i="82" s="1"/>
  <c r="A8" i="82" s="1"/>
  <c r="A9" i="82" s="1"/>
  <c r="A10" i="82" s="1"/>
  <c r="C5" i="82"/>
  <c r="A11" i="82" l="1"/>
  <c r="A12" i="82" s="1"/>
  <c r="A13" i="82" s="1"/>
  <c r="A14" i="82" s="1"/>
  <c r="A15" i="82" s="1"/>
  <c r="A16" i="82" s="1"/>
  <c r="A17" i="82" s="1"/>
  <c r="A18" i="82" s="1"/>
  <c r="A19" i="82" s="1"/>
  <c r="A20" i="82" s="1"/>
  <c r="A21" i="82" s="1"/>
  <c r="A22" i="82" s="1"/>
  <c r="N5" i="8" l="1"/>
  <c r="Q3" i="8"/>
  <c r="A12" i="81" l="1"/>
  <c r="A15" i="81" s="1"/>
  <c r="A18" i="81" s="1"/>
  <c r="A21" i="81" s="1"/>
  <c r="A24" i="81" s="1"/>
  <c r="A27" i="81" s="1"/>
  <c r="A30" i="81" s="1"/>
  <c r="A33" i="81" s="1"/>
  <c r="A36" i="81" s="1"/>
  <c r="A39" i="81" s="1"/>
  <c r="A42" i="81" s="1"/>
  <c r="A45" i="81" s="1"/>
  <c r="A48" i="81" s="1"/>
  <c r="A51" i="81" s="1"/>
  <c r="A54" i="81" s="1"/>
  <c r="A57" i="81" s="1"/>
  <c r="A60" i="81" s="1"/>
  <c r="A63" i="81" s="1"/>
  <c r="A66" i="81" s="1"/>
  <c r="A69" i="81" s="1"/>
  <c r="A72" i="81" s="1"/>
  <c r="A75" i="81" s="1"/>
  <c r="A78" i="81" s="1"/>
  <c r="A81" i="81" s="1"/>
  <c r="A84" i="81" s="1"/>
  <c r="A87" i="81" s="1"/>
  <c r="A90" i="81" s="1"/>
  <c r="A93" i="81" s="1"/>
  <c r="A96" i="81" s="1"/>
  <c r="A99" i="81" s="1"/>
  <c r="A102" i="81" s="1"/>
  <c r="A105" i="81" s="1"/>
  <c r="A108" i="81" s="1"/>
  <c r="A111" i="81" s="1"/>
  <c r="A114" i="81" s="1"/>
  <c r="A117" i="81" s="1"/>
  <c r="A120" i="81" s="1"/>
  <c r="A123" i="81" s="1"/>
  <c r="A126" i="81" s="1"/>
  <c r="A1" i="81"/>
  <c r="A12" i="80"/>
  <c r="A15" i="80" s="1"/>
  <c r="A18" i="80" s="1"/>
  <c r="A21" i="80" s="1"/>
  <c r="A24" i="80" s="1"/>
  <c r="A27" i="80" s="1"/>
  <c r="A30" i="80" s="1"/>
  <c r="A33" i="80" s="1"/>
  <c r="A36" i="80" s="1"/>
  <c r="A39" i="80" s="1"/>
  <c r="A42" i="80" s="1"/>
  <c r="A45" i="80" s="1"/>
  <c r="A48" i="80" s="1"/>
  <c r="A51" i="80" s="1"/>
  <c r="A54" i="80" s="1"/>
  <c r="A57" i="80" s="1"/>
  <c r="A60" i="80" s="1"/>
  <c r="A63" i="80" s="1"/>
  <c r="A66" i="80" s="1"/>
  <c r="A69" i="80" s="1"/>
  <c r="A72" i="80" s="1"/>
  <c r="A75" i="80" s="1"/>
  <c r="A78" i="80" s="1"/>
  <c r="A81" i="80" s="1"/>
  <c r="A84" i="80" s="1"/>
  <c r="A87" i="80" s="1"/>
  <c r="A90" i="80" s="1"/>
  <c r="A93" i="80" s="1"/>
  <c r="A96" i="80" s="1"/>
  <c r="A99" i="80" s="1"/>
  <c r="A102" i="80" s="1"/>
  <c r="A105" i="80" s="1"/>
  <c r="A108" i="80" s="1"/>
  <c r="A111" i="80" s="1"/>
  <c r="A114" i="80" s="1"/>
  <c r="A117" i="80" s="1"/>
  <c r="A120" i="80" s="1"/>
  <c r="A123" i="80" s="1"/>
  <c r="A126" i="80" s="1"/>
  <c r="A1" i="80"/>
  <c r="A12" i="78"/>
  <c r="A15" i="78" s="1"/>
  <c r="A18" i="78" s="1"/>
  <c r="A21" i="78" s="1"/>
  <c r="A24" i="78" s="1"/>
  <c r="A27" i="78" s="1"/>
  <c r="A30" i="78" s="1"/>
  <c r="A33" i="78" s="1"/>
  <c r="A36" i="78" s="1"/>
  <c r="A39" i="78" s="1"/>
  <c r="A42" i="78" s="1"/>
  <c r="A45" i="78" s="1"/>
  <c r="A48" i="78" s="1"/>
  <c r="A51" i="78" s="1"/>
  <c r="A54" i="78" s="1"/>
  <c r="A57" i="78" s="1"/>
  <c r="A60" i="78" s="1"/>
  <c r="A63" i="78" s="1"/>
  <c r="A66" i="78" s="1"/>
  <c r="A69" i="78" s="1"/>
  <c r="A72" i="78" s="1"/>
  <c r="A75" i="78" s="1"/>
  <c r="A78" i="78" s="1"/>
  <c r="A81" i="78" s="1"/>
  <c r="A84" i="78" s="1"/>
  <c r="A87" i="78" s="1"/>
  <c r="A90" i="78" s="1"/>
  <c r="A93" i="78" s="1"/>
  <c r="A96" i="78" s="1"/>
  <c r="A99" i="78" s="1"/>
  <c r="A102" i="78" s="1"/>
  <c r="A105" i="78" s="1"/>
  <c r="A108" i="78" s="1"/>
  <c r="A111" i="78" s="1"/>
  <c r="A114" i="78" s="1"/>
  <c r="A117" i="78" s="1"/>
  <c r="A120" i="78" s="1"/>
  <c r="A123" i="78" s="1"/>
  <c r="A126" i="78" s="1"/>
  <c r="A1" i="78"/>
  <c r="A12" i="77"/>
  <c r="A15" i="77" s="1"/>
  <c r="A18" i="77" s="1"/>
  <c r="A21" i="77" s="1"/>
  <c r="A24" i="77" s="1"/>
  <c r="A27" i="77" s="1"/>
  <c r="A30" i="77" s="1"/>
  <c r="A33" i="77" s="1"/>
  <c r="A36" i="77" s="1"/>
  <c r="A39" i="77" s="1"/>
  <c r="A42" i="77" s="1"/>
  <c r="A45" i="77" s="1"/>
  <c r="A48" i="77" s="1"/>
  <c r="A51" i="77" s="1"/>
  <c r="A54" i="77" s="1"/>
  <c r="A57" i="77" s="1"/>
  <c r="A60" i="77" s="1"/>
  <c r="A63" i="77" s="1"/>
  <c r="A66" i="77" s="1"/>
  <c r="A69" i="77" s="1"/>
  <c r="A72" i="77" s="1"/>
  <c r="A75" i="77" s="1"/>
  <c r="A78" i="77" s="1"/>
  <c r="A81" i="77" s="1"/>
  <c r="A84" i="77" s="1"/>
  <c r="A87" i="77" s="1"/>
  <c r="A90" i="77" s="1"/>
  <c r="A93" i="77" s="1"/>
  <c r="A96" i="77" s="1"/>
  <c r="A99" i="77" s="1"/>
  <c r="A102" i="77" s="1"/>
  <c r="A105" i="77" s="1"/>
  <c r="A108" i="77" s="1"/>
  <c r="A111" i="77" s="1"/>
  <c r="A114" i="77" s="1"/>
  <c r="A117" i="77" s="1"/>
  <c r="A120" i="77" s="1"/>
  <c r="A123" i="77" s="1"/>
  <c r="A126" i="77" s="1"/>
  <c r="A1" i="77"/>
  <c r="A12" i="76"/>
  <c r="A15" i="76" s="1"/>
  <c r="A18" i="76" s="1"/>
  <c r="A21" i="76" s="1"/>
  <c r="A24" i="76" s="1"/>
  <c r="A27" i="76" s="1"/>
  <c r="A30" i="76" s="1"/>
  <c r="A33" i="76" s="1"/>
  <c r="A36" i="76" s="1"/>
  <c r="A39" i="76" s="1"/>
  <c r="A42" i="76" s="1"/>
  <c r="A45" i="76" s="1"/>
  <c r="A48" i="76" s="1"/>
  <c r="A51" i="76" s="1"/>
  <c r="A54" i="76" s="1"/>
  <c r="A57" i="76" s="1"/>
  <c r="A60" i="76" s="1"/>
  <c r="A63" i="76" s="1"/>
  <c r="A66" i="76" s="1"/>
  <c r="A69" i="76" s="1"/>
  <c r="A72" i="76" s="1"/>
  <c r="A75" i="76" s="1"/>
  <c r="A78" i="76" s="1"/>
  <c r="A81" i="76" s="1"/>
  <c r="A84" i="76" s="1"/>
  <c r="A87" i="76" s="1"/>
  <c r="A90" i="76" s="1"/>
  <c r="A93" i="76" s="1"/>
  <c r="A96" i="76" s="1"/>
  <c r="A99" i="76" s="1"/>
  <c r="A102" i="76" s="1"/>
  <c r="A105" i="76" s="1"/>
  <c r="A108" i="76" s="1"/>
  <c r="A111" i="76" s="1"/>
  <c r="A114" i="76" s="1"/>
  <c r="A117" i="76" s="1"/>
  <c r="A120" i="76" s="1"/>
  <c r="A123" i="76" s="1"/>
  <c r="A126" i="76" s="1"/>
  <c r="A1" i="76"/>
  <c r="A12" i="75"/>
  <c r="A15" i="75" s="1"/>
  <c r="A18" i="75" s="1"/>
  <c r="A21" i="75" s="1"/>
  <c r="A24" i="75" s="1"/>
  <c r="A27" i="75" s="1"/>
  <c r="A30" i="75" s="1"/>
  <c r="A33" i="75" s="1"/>
  <c r="A36" i="75" s="1"/>
  <c r="A39" i="75" s="1"/>
  <c r="A42" i="75" s="1"/>
  <c r="A45" i="75" s="1"/>
  <c r="A48" i="75" s="1"/>
  <c r="A51" i="75" s="1"/>
  <c r="A54" i="75" s="1"/>
  <c r="A57" i="75" s="1"/>
  <c r="A60" i="75" s="1"/>
  <c r="A63" i="75" s="1"/>
  <c r="A66" i="75" s="1"/>
  <c r="A69" i="75" s="1"/>
  <c r="A72" i="75" s="1"/>
  <c r="A75" i="75" s="1"/>
  <c r="A78" i="75" s="1"/>
  <c r="A81" i="75" s="1"/>
  <c r="A84" i="75" s="1"/>
  <c r="A87" i="75" s="1"/>
  <c r="A90" i="75" s="1"/>
  <c r="A93" i="75" s="1"/>
  <c r="A96" i="75" s="1"/>
  <c r="A99" i="75" s="1"/>
  <c r="A102" i="75" s="1"/>
  <c r="A105" i="75" s="1"/>
  <c r="A108" i="75" s="1"/>
  <c r="A111" i="75" s="1"/>
  <c r="A114" i="75" s="1"/>
  <c r="A117" i="75" s="1"/>
  <c r="A120" i="75" s="1"/>
  <c r="A123" i="75" s="1"/>
  <c r="A126" i="75" s="1"/>
  <c r="A1" i="75"/>
  <c r="A39" i="74"/>
  <c r="A42" i="74" s="1"/>
  <c r="A45" i="74" s="1"/>
  <c r="A48" i="74" s="1"/>
  <c r="A51" i="74" s="1"/>
  <c r="A54" i="74" s="1"/>
  <c r="A57" i="74" s="1"/>
  <c r="A60" i="74" s="1"/>
  <c r="A63" i="74" s="1"/>
  <c r="A66" i="74" s="1"/>
  <c r="A69" i="74" s="1"/>
  <c r="A72" i="74" s="1"/>
  <c r="A75" i="74" s="1"/>
  <c r="A78" i="74" s="1"/>
  <c r="A81" i="74" s="1"/>
  <c r="A84" i="74" s="1"/>
  <c r="A87" i="74" s="1"/>
  <c r="A90" i="74" s="1"/>
  <c r="A93" i="74" s="1"/>
  <c r="A96" i="74" s="1"/>
  <c r="A99" i="74" s="1"/>
  <c r="A102" i="74" s="1"/>
  <c r="A105" i="74" s="1"/>
  <c r="A108" i="74" s="1"/>
  <c r="A111" i="74" s="1"/>
  <c r="A114" i="74" s="1"/>
  <c r="A117" i="74" s="1"/>
  <c r="A120" i="74" s="1"/>
  <c r="A123" i="74" s="1"/>
  <c r="A126" i="74" s="1"/>
  <c r="A12" i="74"/>
  <c r="A15" i="74" s="1"/>
  <c r="A18" i="74" s="1"/>
  <c r="A21" i="74" s="1"/>
  <c r="A24" i="74" s="1"/>
  <c r="A27" i="74" s="1"/>
  <c r="A30" i="74" s="1"/>
  <c r="A33" i="74" s="1"/>
  <c r="A36" i="74" s="1"/>
  <c r="A1" i="74"/>
  <c r="C25" i="80"/>
  <c r="C37" i="80"/>
  <c r="C100" i="80"/>
  <c r="B48" i="80"/>
  <c r="C82" i="80"/>
  <c r="C88" i="80"/>
  <c r="C34" i="80"/>
  <c r="C70" i="80"/>
  <c r="B27" i="80"/>
  <c r="C52" i="80"/>
  <c r="B12" i="80"/>
  <c r="B60" i="80"/>
  <c r="C115" i="80"/>
  <c r="C40" i="80"/>
  <c r="B54" i="80"/>
  <c r="B57" i="80"/>
  <c r="C22" i="80"/>
  <c r="B36" i="80"/>
  <c r="C118" i="80"/>
  <c r="B21" i="80"/>
  <c r="B42" i="80"/>
  <c r="B9" i="80"/>
  <c r="B18" i="80"/>
  <c r="C28" i="80"/>
  <c r="B51" i="80"/>
  <c r="C97" i="80"/>
  <c r="C85" i="80"/>
  <c r="C19" i="80"/>
  <c r="C79" i="80"/>
  <c r="C61" i="80"/>
  <c r="C91" i="80"/>
  <c r="B15" i="80"/>
  <c r="C55" i="80"/>
  <c r="C124" i="80"/>
  <c r="C16" i="80"/>
  <c r="C13" i="80"/>
  <c r="C73" i="80"/>
  <c r="C58" i="80"/>
  <c r="C64" i="80"/>
  <c r="B39" i="80"/>
  <c r="C31" i="80"/>
  <c r="B24" i="80"/>
  <c r="B30" i="80"/>
  <c r="C127" i="80"/>
  <c r="C43" i="80"/>
  <c r="C121" i="80"/>
  <c r="C10" i="80"/>
  <c r="C46" i="80"/>
  <c r="B33" i="80"/>
  <c r="C94" i="80"/>
  <c r="C49" i="80"/>
  <c r="C67" i="80"/>
  <c r="B45" i="80"/>
  <c r="C76" i="80"/>
  <c r="BR5" i="8" l="1"/>
  <c r="BU5" i="8"/>
  <c r="BZ5" i="8" s="1"/>
  <c r="CD5" i="8"/>
  <c r="CF5" i="8"/>
  <c r="AY5" i="8"/>
  <c r="BB5" i="8"/>
  <c r="BD5" i="8" s="1"/>
  <c r="BI5" i="8"/>
  <c r="CJ5" i="8"/>
  <c r="O5" i="8"/>
  <c r="Q5" i="8" s="1"/>
  <c r="AJ5" i="8" l="1"/>
  <c r="AI5" i="8"/>
  <c r="BF5" i="8"/>
  <c r="S5" i="8"/>
  <c r="T5" i="8" s="1"/>
  <c r="AE5" i="8" l="1"/>
  <c r="AF5" i="8" s="1"/>
  <c r="A6" i="47"/>
  <c r="AL5" i="8" l="1"/>
  <c r="AM5" i="8" s="1"/>
  <c r="A6" i="45"/>
  <c r="A7" i="45" s="1"/>
  <c r="A8" i="45" s="1"/>
  <c r="A9" i="45" s="1"/>
  <c r="A10" i="45" s="1"/>
  <c r="A11" i="45" s="1"/>
  <c r="A12" i="45" s="1"/>
  <c r="A13" i="45" s="1"/>
  <c r="A14" i="45" s="1"/>
  <c r="A15" i="45" s="1"/>
  <c r="A16" i="45" s="1"/>
  <c r="A17" i="45" s="1"/>
  <c r="A18" i="45" s="1"/>
  <c r="A19" i="45" s="1"/>
  <c r="A20" i="45" s="1"/>
  <c r="A21" i="45" s="1"/>
  <c r="A22" i="45" s="1"/>
  <c r="A23" i="45" s="1"/>
  <c r="A24" i="45" s="1"/>
  <c r="A25" i="45" s="1"/>
  <c r="A26" i="45" s="1"/>
  <c r="A27" i="45" s="1"/>
  <c r="M3" i="8" l="1"/>
  <c r="H13" i="64" l="1"/>
  <c r="I13" i="64" s="1"/>
  <c r="H12" i="64"/>
  <c r="I12" i="64" s="1"/>
  <c r="H11" i="64"/>
  <c r="I11" i="64" s="1"/>
  <c r="H10" i="64"/>
  <c r="I10" i="64" s="1"/>
  <c r="H9" i="64"/>
  <c r="I9" i="64" s="1"/>
  <c r="H8" i="64"/>
  <c r="I8" i="64" s="1"/>
  <c r="H7" i="64"/>
  <c r="I7" i="64" s="1"/>
  <c r="H6" i="64"/>
  <c r="I6" i="64" s="1"/>
  <c r="H5" i="64"/>
  <c r="D5" i="64"/>
  <c r="B1" i="64"/>
  <c r="I5" i="64" l="1"/>
  <c r="I15" i="64" l="1"/>
  <c r="BJ19" i="8" l="1"/>
  <c r="BK19" i="8" s="1"/>
  <c r="BM19" i="8" s="1"/>
  <c r="BO19" i="8" s="1"/>
  <c r="J19" i="8" s="1"/>
  <c r="BJ14" i="8"/>
  <c r="BK14" i="8" s="1"/>
  <c r="BM14" i="8" s="1"/>
  <c r="BJ13" i="8"/>
  <c r="BK13" i="8" s="1"/>
  <c r="BM13" i="8" s="1"/>
  <c r="BO13" i="8" s="1"/>
  <c r="J13" i="8" s="1"/>
  <c r="BJ12" i="8"/>
  <c r="BK12" i="8" s="1"/>
  <c r="BM12" i="8" s="1"/>
  <c r="BO12" i="8" s="1"/>
  <c r="J12" i="8" s="1"/>
  <c r="BJ11" i="8"/>
  <c r="BK11" i="8" s="1"/>
  <c r="BJ10" i="8"/>
  <c r="BK10" i="8" s="1"/>
  <c r="BM10" i="8" s="1"/>
  <c r="BO10" i="8" s="1"/>
  <c r="J10" i="8" s="1"/>
  <c r="BJ9" i="8"/>
  <c r="BK9" i="8" s="1"/>
  <c r="BM9" i="8" s="1"/>
  <c r="BO9" i="8" s="1"/>
  <c r="J9" i="8" s="1"/>
  <c r="BJ8" i="8"/>
  <c r="BK8" i="8" s="1"/>
  <c r="BM8" i="8" s="1"/>
  <c r="BO8" i="8" s="1"/>
  <c r="J8" i="8" s="1"/>
  <c r="BJ7" i="8"/>
  <c r="BK7" i="8" s="1"/>
  <c r="BM7" i="8" s="1"/>
  <c r="BO7" i="8" s="1"/>
  <c r="J7" i="8" s="1"/>
  <c r="BJ21" i="8"/>
  <c r="BK21" i="8" s="1"/>
  <c r="BM21" i="8" s="1"/>
  <c r="BO21" i="8" s="1"/>
  <c r="J21" i="8" s="1"/>
  <c r="BJ20" i="8"/>
  <c r="BK20" i="8" s="1"/>
  <c r="BM20" i="8" s="1"/>
  <c r="BO20" i="8" s="1"/>
  <c r="J20" i="8" s="1"/>
  <c r="BJ15" i="8"/>
  <c r="BK15" i="8" s="1"/>
  <c r="BM15" i="8" s="1"/>
  <c r="BO15" i="8" s="1"/>
  <c r="J15" i="8" s="1"/>
  <c r="BJ18" i="8"/>
  <c r="BK18" i="8" s="1"/>
  <c r="BM18" i="8" s="1"/>
  <c r="BO18" i="8" s="1"/>
  <c r="J18" i="8" s="1"/>
  <c r="BJ6" i="8"/>
  <c r="BK6" i="8" s="1"/>
  <c r="BM6" i="8" s="1"/>
  <c r="BO6" i="8" s="1"/>
  <c r="J6" i="8" s="1"/>
  <c r="BJ22" i="8"/>
  <c r="BK22" i="8" s="1"/>
  <c r="BM22" i="8" s="1"/>
  <c r="BO22" i="8" s="1"/>
  <c r="J22" i="8" s="1"/>
  <c r="BJ17" i="8"/>
  <c r="BK17" i="8" s="1"/>
  <c r="BM17" i="8" s="1"/>
  <c r="BO17" i="8" s="1"/>
  <c r="J17" i="8" s="1"/>
  <c r="BJ16" i="8"/>
  <c r="BK16" i="8" s="1"/>
  <c r="BM16" i="8" s="1"/>
  <c r="BO16" i="8" s="1"/>
  <c r="J16" i="8" s="1"/>
  <c r="BJ5" i="8"/>
  <c r="G23" i="26"/>
  <c r="I16" i="64"/>
  <c r="C15" i="59"/>
  <c r="C13" i="59"/>
  <c r="C12" i="59"/>
  <c r="C11" i="59"/>
  <c r="C10" i="59"/>
  <c r="C9" i="59"/>
  <c r="C8" i="59"/>
  <c r="C7" i="59"/>
  <c r="H12" i="26"/>
  <c r="H11" i="26"/>
  <c r="BO14" i="8" l="1"/>
  <c r="J14" i="8" s="1"/>
  <c r="BM11" i="8"/>
  <c r="BO11" i="8" s="1"/>
  <c r="J11" i="8" s="1"/>
  <c r="BK5" i="8"/>
  <c r="BM5" i="8" s="1"/>
  <c r="BO5" i="8" s="1"/>
  <c r="J5" i="8" s="1"/>
  <c r="A7" i="47" l="1"/>
  <c r="A8" i="47" s="1"/>
  <c r="A9" i="47" s="1"/>
  <c r="A10" i="47" s="1"/>
  <c r="A11" i="47" s="1"/>
  <c r="A12" i="47" s="1"/>
  <c r="A13" i="47" s="1"/>
  <c r="A14" i="47" s="1"/>
  <c r="A15" i="47" s="1"/>
  <c r="A16" i="47" s="1"/>
  <c r="A17" i="47" s="1"/>
  <c r="A18" i="47" s="1"/>
  <c r="A19" i="47" s="1"/>
  <c r="A20" i="47" s="1"/>
  <c r="A21" i="47" s="1"/>
  <c r="A22" i="47" s="1"/>
  <c r="A23" i="47" s="1"/>
  <c r="A24" i="47" s="1"/>
  <c r="A25" i="47" s="1"/>
  <c r="A26" i="47" s="1"/>
  <c r="A27" i="47" s="1"/>
  <c r="P9" i="7"/>
  <c r="A7" i="7"/>
  <c r="C12" i="26" l="1"/>
  <c r="A12" i="26"/>
  <c r="Q1" i="81"/>
  <c r="A50" i="60" l="1"/>
  <c r="A2" i="60"/>
  <c r="C6" i="58"/>
  <c r="C6" i="59" l="1"/>
  <c r="A6" i="59"/>
  <c r="A7" i="59" s="1"/>
  <c r="A8" i="59" s="1"/>
  <c r="A9" i="59" s="1"/>
  <c r="A10" i="59" s="1"/>
  <c r="A11" i="59" s="1"/>
  <c r="A12" i="59" s="1"/>
  <c r="A13" i="59" s="1"/>
  <c r="A14" i="59" s="1"/>
  <c r="A15" i="59" s="1"/>
  <c r="D1" i="59"/>
  <c r="A6" i="58" l="1"/>
  <c r="D3" i="58"/>
  <c r="G2" i="58"/>
  <c r="D2" i="58"/>
  <c r="D1" i="58"/>
  <c r="G1" i="88" l="1"/>
  <c r="D1" i="89"/>
  <c r="B16" i="26"/>
  <c r="C16" i="26" s="1"/>
  <c r="G6" i="58"/>
  <c r="G1" i="58"/>
  <c r="C26" i="26" l="1"/>
  <c r="D2" i="53"/>
  <c r="D1" i="53"/>
  <c r="C1" i="9" l="1"/>
  <c r="A26" i="7" l="1"/>
  <c r="A11" i="7"/>
  <c r="A5" i="7"/>
  <c r="G7" i="9"/>
  <c r="C1" i="47"/>
  <c r="C1" i="7"/>
  <c r="A50" i="39"/>
  <c r="A2" i="39"/>
  <c r="D1" i="45"/>
  <c r="C22" i="34"/>
  <c r="C1" i="34"/>
  <c r="F11" i="26" l="1"/>
  <c r="J11" i="26" s="1"/>
  <c r="K11" i="26" s="1"/>
  <c r="I11" i="26" l="1"/>
  <c r="D30" i="7" l="1"/>
  <c r="E30" i="7" s="1"/>
  <c r="F30" i="7" s="1"/>
  <c r="G30" i="7" s="1"/>
  <c r="H30" i="7" s="1"/>
  <c r="I30" i="7" s="1"/>
  <c r="J30" i="7" s="1"/>
  <c r="K30" i="7" s="1"/>
  <c r="L30" i="7" s="1"/>
  <c r="M30" i="7" s="1"/>
  <c r="N30" i="7" s="1"/>
  <c r="O30" i="7" s="1"/>
  <c r="P30" i="7" s="1"/>
  <c r="C31" i="7" s="1"/>
  <c r="D31" i="7" s="1"/>
  <c r="E31" i="7" s="1"/>
  <c r="F31" i="7" s="1"/>
  <c r="G31" i="7" s="1"/>
  <c r="H31" i="7" s="1"/>
  <c r="I31" i="7" s="1"/>
  <c r="J31" i="7" s="1"/>
  <c r="K31" i="7" s="1"/>
  <c r="L31" i="7" s="1"/>
  <c r="M31" i="7" s="1"/>
  <c r="N31" i="7" s="1"/>
  <c r="O31" i="7" s="1"/>
  <c r="P31" i="7" s="1"/>
  <c r="C27" i="26" l="1"/>
  <c r="F9" i="9" l="1"/>
  <c r="D3" i="92" l="1"/>
  <c r="G3" i="105"/>
  <c r="G3" i="104"/>
  <c r="G3" i="88"/>
  <c r="D16" i="26"/>
  <c r="E16" i="26" s="1"/>
  <c r="D14" i="26"/>
  <c r="E14" i="26" s="1"/>
  <c r="D3" i="89"/>
  <c r="D15" i="26"/>
  <c r="E15" i="26" s="1"/>
  <c r="D13" i="26"/>
  <c r="E13" i="26" s="1"/>
  <c r="D12" i="26"/>
  <c r="G3" i="58"/>
  <c r="F14" i="9"/>
  <c r="G3" i="87" l="1"/>
  <c r="G3" i="107"/>
  <c r="D23" i="26"/>
  <c r="E23" i="26" s="1"/>
  <c r="D25" i="26"/>
  <c r="E25" i="26" s="1"/>
  <c r="D24" i="26"/>
  <c r="E24" i="26" s="1"/>
  <c r="E12" i="26"/>
  <c r="F12" i="26" l="1"/>
  <c r="F13" i="26" s="1"/>
  <c r="F14" i="26" s="1"/>
  <c r="J12" i="26" l="1"/>
  <c r="I12" i="26" s="1"/>
  <c r="F15" i="26"/>
  <c r="J14" i="26"/>
  <c r="K14" i="26"/>
  <c r="I14" i="26"/>
  <c r="H15" i="26"/>
  <c r="J15" i="26" s="1"/>
  <c r="J13" i="26"/>
  <c r="K13" i="26" s="1"/>
  <c r="G9" i="9"/>
  <c r="G11" i="9" s="1"/>
  <c r="G12" i="9" s="1"/>
  <c r="S4" i="81"/>
  <c r="S5" i="80"/>
  <c r="S5" i="75"/>
  <c r="S4" i="75"/>
  <c r="K12" i="26" l="1"/>
  <c r="F16" i="26"/>
  <c r="K15" i="26"/>
  <c r="I15" i="26"/>
  <c r="I13" i="26"/>
  <c r="G14" i="9"/>
  <c r="F12" i="9"/>
  <c r="S4" i="80"/>
  <c r="S5" i="76"/>
  <c r="S4" i="76"/>
  <c r="S5" i="81"/>
  <c r="CK25" i="8" l="1"/>
  <c r="CK20" i="8"/>
  <c r="CK17" i="8"/>
  <c r="CK6" i="8"/>
  <c r="CK23" i="8"/>
  <c r="CK22" i="8"/>
  <c r="CK16" i="8"/>
  <c r="CK21" i="8"/>
  <c r="CK15" i="8"/>
  <c r="CK14" i="8"/>
  <c r="CK13" i="8"/>
  <c r="CK12" i="8"/>
  <c r="CK11" i="8"/>
  <c r="CK10" i="8"/>
  <c r="CK9" i="8"/>
  <c r="CK8" i="8"/>
  <c r="CK7" i="8"/>
  <c r="CK19" i="8"/>
  <c r="CK18" i="8"/>
  <c r="G3" i="59"/>
  <c r="G3" i="93"/>
  <c r="F17" i="26"/>
  <c r="J16" i="26"/>
  <c r="K16" i="26"/>
  <c r="I16" i="26"/>
  <c r="CK5" i="8"/>
  <c r="D21" i="26"/>
  <c r="E21" i="26" s="1"/>
  <c r="E26" i="26" s="1"/>
  <c r="S4" i="74"/>
  <c r="S5" i="74"/>
  <c r="CL10" i="8" l="1"/>
  <c r="CM10" i="8"/>
  <c r="CP10" i="8" s="1"/>
  <c r="CQ10" i="8" s="1"/>
  <c r="CM6" i="8"/>
  <c r="CP6" i="8" s="1"/>
  <c r="CQ6" i="8" s="1"/>
  <c r="CL6" i="8"/>
  <c r="CM18" i="8"/>
  <c r="CP18" i="8" s="1"/>
  <c r="CQ18" i="8" s="1"/>
  <c r="CL18" i="8"/>
  <c r="CL9" i="8"/>
  <c r="CM9" i="8"/>
  <c r="CP9" i="8" s="1"/>
  <c r="CQ9" i="8" s="1"/>
  <c r="CL12" i="8"/>
  <c r="CM12" i="8"/>
  <c r="CP12" i="8" s="1"/>
  <c r="CQ12" i="8" s="1"/>
  <c r="CM14" i="8"/>
  <c r="CP14" i="8" s="1"/>
  <c r="CQ14" i="8" s="1"/>
  <c r="CL14" i="8"/>
  <c r="CM22" i="8"/>
  <c r="CP22" i="8" s="1"/>
  <c r="CQ22" i="8" s="1"/>
  <c r="CL22" i="8"/>
  <c r="CM20" i="8"/>
  <c r="CP20" i="8" s="1"/>
  <c r="CQ20" i="8" s="1"/>
  <c r="CL20" i="8"/>
  <c r="CL7" i="8"/>
  <c r="CM7" i="8"/>
  <c r="CP7" i="8" s="1"/>
  <c r="CQ7" i="8" s="1"/>
  <c r="CM21" i="8"/>
  <c r="CP21" i="8" s="1"/>
  <c r="CQ21" i="8" s="1"/>
  <c r="CL21" i="8"/>
  <c r="CL8" i="8"/>
  <c r="CM8" i="8"/>
  <c r="CP8" i="8" s="1"/>
  <c r="CQ8" i="8" s="1"/>
  <c r="CL11" i="8"/>
  <c r="CM11" i="8"/>
  <c r="CP11" i="8" s="1"/>
  <c r="CQ11" i="8" s="1"/>
  <c r="CM13" i="8"/>
  <c r="CP13" i="8" s="1"/>
  <c r="CQ13" i="8" s="1"/>
  <c r="CL13" i="8"/>
  <c r="CM16" i="8"/>
  <c r="CP16" i="8" s="1"/>
  <c r="CQ16" i="8" s="1"/>
  <c r="CL16" i="8"/>
  <c r="CM17" i="8"/>
  <c r="CP17" i="8" s="1"/>
  <c r="CQ17" i="8" s="1"/>
  <c r="CL17" i="8"/>
  <c r="CM19" i="8"/>
  <c r="CP19" i="8" s="1"/>
  <c r="CQ19" i="8" s="1"/>
  <c r="CL19" i="8"/>
  <c r="CM15" i="8"/>
  <c r="CP15" i="8" s="1"/>
  <c r="CQ15" i="8" s="1"/>
  <c r="CL15" i="8"/>
  <c r="CL23" i="8"/>
  <c r="CM23" i="8"/>
  <c r="CP23" i="8" s="1"/>
  <c r="CQ23" i="8" s="1"/>
  <c r="CM25" i="8"/>
  <c r="CP25" i="8" s="1"/>
  <c r="CQ25" i="8" s="1"/>
  <c r="CL25" i="8"/>
  <c r="F18" i="26"/>
  <c r="K17" i="26"/>
  <c r="I17" i="26"/>
  <c r="H18" i="26"/>
  <c r="J18" i="26" s="1"/>
  <c r="J17" i="26"/>
  <c r="CL5" i="8"/>
  <c r="CM5" i="8"/>
  <c r="CP5" i="8" s="1"/>
  <c r="CQ5" i="8" s="1"/>
  <c r="E27" i="26"/>
  <c r="F19" i="26" l="1"/>
  <c r="K18" i="26"/>
  <c r="I18" i="26"/>
  <c r="S5" i="90"/>
  <c r="S4" i="90"/>
  <c r="F20" i="26" l="1"/>
  <c r="J19" i="26"/>
  <c r="K19" i="26"/>
  <c r="I19" i="26"/>
  <c r="S5" i="91"/>
  <c r="S4" i="91"/>
  <c r="K20" i="26" l="1"/>
  <c r="I20" i="26"/>
  <c r="J20" i="26"/>
  <c r="F21" i="26"/>
  <c r="F22" i="26" l="1"/>
  <c r="J21" i="26"/>
  <c r="K21" i="26"/>
  <c r="I21" i="26"/>
  <c r="S5" i="83"/>
  <c r="S4" i="83"/>
  <c r="F23" i="26" l="1"/>
  <c r="K22" i="26"/>
  <c r="I22" i="26"/>
  <c r="J22" i="26"/>
  <c r="H23" i="26"/>
  <c r="J23" i="26" s="1"/>
  <c r="F24" i="26" l="1"/>
  <c r="K23" i="26"/>
  <c r="I23" i="26"/>
  <c r="S5" i="85"/>
  <c r="S4" i="85"/>
  <c r="F25" i="26" l="1"/>
  <c r="K24" i="26"/>
  <c r="I24" i="26"/>
  <c r="J24" i="26"/>
  <c r="S5" i="78"/>
  <c r="S4" i="78"/>
  <c r="J25" i="26" l="1"/>
  <c r="K25" i="26"/>
  <c r="I25" i="26"/>
  <c r="S5" i="95"/>
  <c r="S5" i="77"/>
  <c r="S4" i="77"/>
  <c r="S4" i="95"/>
</calcChain>
</file>

<file path=xl/sharedStrings.xml><?xml version="1.0" encoding="utf-8"?>
<sst xmlns="http://schemas.openxmlformats.org/spreadsheetml/2006/main" count="2286" uniqueCount="532">
  <si>
    <t>№</t>
  </si>
  <si>
    <t>Общее</t>
  </si>
  <si>
    <t>Интервал</t>
  </si>
  <si>
    <t>Дорожная ситуация</t>
  </si>
  <si>
    <t>Информация</t>
  </si>
  <si>
    <t>До КВ</t>
  </si>
  <si>
    <t>В случае схода с дистанции или происшествия</t>
  </si>
  <si>
    <t>Смоленск</t>
  </si>
  <si>
    <t>Дистанция</t>
  </si>
  <si>
    <t>Средняя скорость</t>
  </si>
  <si>
    <t>Норма времени</t>
  </si>
  <si>
    <t>Протокол судейского поста</t>
  </si>
  <si>
    <t>Судья</t>
  </si>
  <si>
    <t>Подпись</t>
  </si>
  <si>
    <t>доп. штраф</t>
  </si>
  <si>
    <t>ТИ-0</t>
  </si>
  <si>
    <t>Старт. номер</t>
  </si>
  <si>
    <t>Автомобиль</t>
  </si>
  <si>
    <t>Пилот 1</t>
  </si>
  <si>
    <t>Пилот 2</t>
  </si>
  <si>
    <t>Класс</t>
  </si>
  <si>
    <t>Разн., мин</t>
  </si>
  <si>
    <t>Пенал.</t>
  </si>
  <si>
    <t>Фальст.</t>
  </si>
  <si>
    <t>План.</t>
  </si>
  <si>
    <t>Факт.</t>
  </si>
  <si>
    <t>Разн., сек</t>
  </si>
  <si>
    <t>Pro</t>
  </si>
  <si>
    <t>Light</t>
  </si>
  <si>
    <t>Наименование судейского пункта</t>
  </si>
  <si>
    <t>Дорожные соревнования</t>
  </si>
  <si>
    <t>Норма времени, мин</t>
  </si>
  <si>
    <t>Средняя скорость, км/ч</t>
  </si>
  <si>
    <t>Расстояние от предыдущего КВ, км</t>
  </si>
  <si>
    <t>Расчетное время прибытия 1-го экипажа</t>
  </si>
  <si>
    <t>Норма времени, сек</t>
  </si>
  <si>
    <t>Расстояние, км</t>
  </si>
  <si>
    <t>старт</t>
  </si>
  <si>
    <t>финиш</t>
  </si>
  <si>
    <t>Hyundai Solaris</t>
  </si>
  <si>
    <t>Семочкина Оксана</t>
  </si>
  <si>
    <t>Курилина Ольга</t>
  </si>
  <si>
    <t>Бестии</t>
  </si>
  <si>
    <t>Подгаева Александра</t>
  </si>
  <si>
    <t>Старт</t>
  </si>
  <si>
    <t>Пенал.   итого</t>
  </si>
  <si>
    <t>Буквы</t>
  </si>
  <si>
    <t>БУКВЫ:</t>
  </si>
  <si>
    <t>Парковка или прилегающая территория</t>
  </si>
  <si>
    <t>Сплошная линия - дорога с асфальтовым покрытием</t>
  </si>
  <si>
    <t>Мост, путепровод</t>
  </si>
  <si>
    <t>Рельсы</t>
  </si>
  <si>
    <t>Карты</t>
  </si>
  <si>
    <t>Точка начала маневра</t>
  </si>
  <si>
    <t>Направление маневра</t>
  </si>
  <si>
    <t>Начало и конец маршрута</t>
  </si>
  <si>
    <t>Маршрут экипажа</t>
  </si>
  <si>
    <t>Маршрут экипажа и его пересечение с другими дорогами ("слепая карта")</t>
  </si>
  <si>
    <t>Дорожные знаки, введенные организатором (на местности отсутствуют)</t>
  </si>
  <si>
    <t>Блок ("карта с блоками")</t>
  </si>
  <si>
    <t>Стрелка ("карта со стрелками")</t>
  </si>
  <si>
    <t>Ориентир (указан в примечании к позиции)</t>
  </si>
  <si>
    <t>прибытие</t>
  </si>
  <si>
    <t>Доп. пенализация</t>
  </si>
  <si>
    <t>Примечания</t>
  </si>
  <si>
    <t>Класс (Light/Pro)</t>
  </si>
  <si>
    <t>Препочт. старт. номер</t>
  </si>
  <si>
    <t>1-й водитель</t>
  </si>
  <si>
    <t>Контактный телефон</t>
  </si>
  <si>
    <t>2-й водитель</t>
  </si>
  <si>
    <t>Госномер</t>
  </si>
  <si>
    <t>Своей подписью Участники (1-й водитель и 2-й водитель) обязуются соблюдать все требования ПДД РФ, требования Организаторов и судей соревнования, Положения Регламента о Соревновании и Спортивного кодекса РАФ, действуют на свой страх и риск и обязуются не предьявлять требований к Организатору в результате любого конфликта и/или ДТП, совершенного по их вине и/или с их участием. Своей подписью Участники подтверждают согласие на обработку персональных данных.</t>
  </si>
  <si>
    <t>Подпись 1-го водителя</t>
  </si>
  <si>
    <t>Подпись 2-го водителя</t>
  </si>
  <si>
    <t>Кроман Ольга</t>
  </si>
  <si>
    <t>Власенков Кирилл</t>
  </si>
  <si>
    <t>Юзвик Ольга</t>
  </si>
  <si>
    <t>Грушина Елена</t>
  </si>
  <si>
    <t>до</t>
  </si>
  <si>
    <t>от</t>
  </si>
  <si>
    <t>примечание</t>
  </si>
  <si>
    <t>Время старта</t>
  </si>
  <si>
    <t>Судейская задержка</t>
  </si>
  <si>
    <t>Название полное</t>
  </si>
  <si>
    <t>Название краткое</t>
  </si>
  <si>
    <t>Дата (даты)</t>
  </si>
  <si>
    <t>Пунктирная линия - дорога с грунтовым покрытием или дорога через прилегающие территории</t>
  </si>
  <si>
    <t>Дорожные знаки - вид "сзади"</t>
  </si>
  <si>
    <t>Дорожная книга</t>
  </si>
  <si>
    <t>Точки ("карта с точками")</t>
  </si>
  <si>
    <t>Светофор - изображается схематично (доп. секции, "стрелки" и пр. не изображаются)</t>
  </si>
  <si>
    <t>Доп. соревнования</t>
  </si>
  <si>
    <t>по ДК</t>
  </si>
  <si>
    <t>Город</t>
  </si>
  <si>
    <t>Ворота</t>
  </si>
  <si>
    <t>Шлагбаум</t>
  </si>
  <si>
    <t>Класс Light</t>
  </si>
  <si>
    <t>Суд. задержка</t>
  </si>
  <si>
    <t>План</t>
  </si>
  <si>
    <t>Разница, сек</t>
  </si>
  <si>
    <t>Норма времени, сек.</t>
  </si>
  <si>
    <t>Доп. пенал.  (вручн.)</t>
  </si>
  <si>
    <t>Время 1го экипажа</t>
  </si>
  <si>
    <t>Лада Гранта</t>
  </si>
  <si>
    <t>ЗеЗе</t>
  </si>
  <si>
    <t>Subaru Forester</t>
  </si>
  <si>
    <t>Чехов Александр</t>
  </si>
  <si>
    <t>Сущевских Кристина</t>
  </si>
  <si>
    <t>Куда ехать-то?</t>
  </si>
  <si>
    <t>Липатникова Ирина</t>
  </si>
  <si>
    <t>Кудамыкатимся</t>
  </si>
  <si>
    <t>Ну, погоди!</t>
  </si>
  <si>
    <t>Кащеев Сергей</t>
  </si>
  <si>
    <t>Максимова Людмила</t>
  </si>
  <si>
    <t>Самисусами</t>
  </si>
  <si>
    <t>Прусова Наталья</t>
  </si>
  <si>
    <t>Козлов Юрий</t>
  </si>
  <si>
    <t>МАксима</t>
  </si>
  <si>
    <t>Новиков Максим</t>
  </si>
  <si>
    <t>Грушина Екатерина</t>
  </si>
  <si>
    <t>Число экипажей</t>
  </si>
  <si>
    <t>Иванова Татьяна</t>
  </si>
  <si>
    <t>Кучерявенкова Олеся</t>
  </si>
  <si>
    <t>Марка, модель автомобиля</t>
  </si>
  <si>
    <t>№ п/п</t>
  </si>
  <si>
    <t>1-й пилот</t>
  </si>
  <si>
    <t>2-й пилот</t>
  </si>
  <si>
    <t>Ст. №</t>
  </si>
  <si>
    <t>GSN</t>
  </si>
  <si>
    <t>Дроздов Сергей</t>
  </si>
  <si>
    <t>Шитикова Виктория</t>
  </si>
  <si>
    <t>BlackMan</t>
  </si>
  <si>
    <t>Черненков Иван</t>
  </si>
  <si>
    <t>Мезенин Валентин</t>
  </si>
  <si>
    <t>Экипаж</t>
  </si>
  <si>
    <t>факт</t>
  </si>
  <si>
    <t>план</t>
  </si>
  <si>
    <t>Кол-во ошибок</t>
  </si>
  <si>
    <t>Расстояние внутри секции</t>
  </si>
  <si>
    <t>Итого по ралли:</t>
  </si>
  <si>
    <t>Расчет времени работы судейских постов</t>
  </si>
  <si>
    <t>Судьи</t>
  </si>
  <si>
    <t>Дельта</t>
  </si>
  <si>
    <t>Расчет</t>
  </si>
  <si>
    <t>Пост</t>
  </si>
  <si>
    <t>Время открытия постов, мин</t>
  </si>
  <si>
    <t>Время закрытия постов, мин</t>
  </si>
  <si>
    <t>Время на прохождение участка, мин</t>
  </si>
  <si>
    <t>Время 1го экипажа расчет</t>
  </si>
  <si>
    <t>Принудительно (для РУ/РД)</t>
  </si>
  <si>
    <t>Судейский пункт</t>
  </si>
  <si>
    <t>Скорость на секции</t>
  </si>
  <si>
    <t>"Точка-стрелка"</t>
  </si>
  <si>
    <t>Номер строки поста</t>
  </si>
  <si>
    <t>Борисов</t>
  </si>
  <si>
    <t>Старт ралли</t>
  </si>
  <si>
    <t>Льгота, мин</t>
  </si>
  <si>
    <t>Разница, мин</t>
  </si>
  <si>
    <t>Своей подписью Участники (1-й водитель и 2-й водитель) обязуются соблюдать все требования ПДД РФ, требования Организаторов и судей соревнования, положения Регламента о Соревновании и Спортивного кодекса РАФ, действуют на свой страх и риск и обязуются не предьявлять требований к Организатору в результате любого конфликта и/или ДТП, совершенного по их вине и/или с их участием. Своей подписью Участники подтверждают согласие на обработку персональных данных.</t>
  </si>
  <si>
    <t>ПРОВЕРИТЬ ЭТОТ СТОЛБЕЦ</t>
  </si>
  <si>
    <t>Всего по ралли:</t>
  </si>
  <si>
    <t>Контрольная карта</t>
  </si>
  <si>
    <t>Маршрутный лист</t>
  </si>
  <si>
    <t>Смотрим: 1) светотехнику, 2) шины, 3) стартовые наклейки и номера, 4) номера с других соревнований должны быть заклеены, 5) прочее (огнетушитель, знак аварийной остановки, стеклоочиститель, …)</t>
  </si>
  <si>
    <t>:</t>
  </si>
  <si>
    <t>:           :</t>
  </si>
  <si>
    <t>:     :</t>
  </si>
  <si>
    <t>8 (910) 787-77-73, 8 (904) 362-47-34, 8 (910) 788-69-82</t>
  </si>
  <si>
    <t>Опоздание на КВ</t>
  </si>
  <si>
    <t>Опережение на КВ</t>
  </si>
  <si>
    <t>Пропуск КВ</t>
  </si>
  <si>
    <t>Отсутсвие отметки на ВКВ</t>
  </si>
  <si>
    <t>Буква</t>
  </si>
  <si>
    <t>Опережение/отставание на РД</t>
  </si>
  <si>
    <t>Опережение на РУ</t>
  </si>
  <si>
    <t>Отставание на РУ</t>
  </si>
  <si>
    <t>Проезд СЛ не по схеме</t>
  </si>
  <si>
    <t>Сбитый конус на СЛ</t>
  </si>
  <si>
    <t>Неостановка базой на СЛ</t>
  </si>
  <si>
    <t>Фальстарт на ДС</t>
  </si>
  <si>
    <t>СЛ коэффициент</t>
  </si>
  <si>
    <t>Опережение на ВКВ сверх льготы</t>
  </si>
  <si>
    <t>Вскрытый конверт</t>
  </si>
  <si>
    <t>Пропуск КП/ФКП</t>
  </si>
  <si>
    <t>Нарушение порядка прохолждения судейских пунктов</t>
  </si>
  <si>
    <t>Нарушение ПДД</t>
  </si>
  <si>
    <t>Опоздание на старт ДС</t>
  </si>
  <si>
    <t>Заявка экипажа</t>
  </si>
  <si>
    <t>Условные обозначения</t>
  </si>
  <si>
    <t>Отметка - по пересечению красного щита. Экипаж может "отстаиваться" перед красным щитом (если это не мешает работе судей и других экипажей, в противном случае делаем запись в протоколе)</t>
  </si>
  <si>
    <t>В графу "прибытие" заносим время ТОЛЬКО если подошел штурман экипажа и подал КК с просьбой отметить время прибытия</t>
  </si>
  <si>
    <t>ХД</t>
  </si>
  <si>
    <t>Плохая дорога</t>
  </si>
  <si>
    <t>---КВ---КВ---КВ---</t>
  </si>
  <si>
    <t>РАЗНИЦА:</t>
  </si>
  <si>
    <t>!   !!   !!!</t>
  </si>
  <si>
    <t>Здание / церковь</t>
  </si>
  <si>
    <t>Опасно! / … / Очень опасно!</t>
  </si>
  <si>
    <t>отметка</t>
  </si>
  <si>
    <t>назначенное</t>
  </si>
  <si>
    <t>фактическое</t>
  </si>
  <si>
    <t>Графу "факт." заполняем только в том случае, если экипаж стартовал во время, отличное от назначенного (с указанием причины в примечаниях)</t>
  </si>
  <si>
    <t>Список заявленных экипажей</t>
  </si>
  <si>
    <t>пройдена</t>
  </si>
  <si>
    <t>Точки изменения скорости</t>
  </si>
  <si>
    <t>Расстояние от начала сектора</t>
  </si>
  <si>
    <t>Длина участка</t>
  </si>
  <si>
    <t>Скорость по ПДД / указание в ДК</t>
  </si>
  <si>
    <t>К</t>
  </si>
  <si>
    <t>Средняя скорость движения</t>
  </si>
  <si>
    <t>Время на прохождение участка</t>
  </si>
  <si>
    <t>ДС РД Финиш</t>
  </si>
  <si>
    <t>Итого:</t>
  </si>
  <si>
    <t>сек:</t>
  </si>
  <si>
    <t>мин, сек:</t>
  </si>
  <si>
    <t>Знаки</t>
  </si>
  <si>
    <t>Регистрация</t>
  </si>
  <si>
    <t>КлФлК</t>
  </si>
  <si>
    <t>минимум</t>
  </si>
  <si>
    <t>Отметка</t>
  </si>
  <si>
    <t>Отс. отм. В КК (проехалмимо)</t>
  </si>
  <si>
    <t>-----&gt;</t>
  </si>
  <si>
    <t>Реф. время, сек (внести вручную)</t>
  </si>
  <si>
    <t>Фальст. (да/пусто)</t>
  </si>
  <si>
    <t>Финиш не базой (да/пусто)</t>
  </si>
  <si>
    <t>Сбито конусов, шт</t>
  </si>
  <si>
    <t>Проезд не по схеме, раз</t>
  </si>
  <si>
    <t>Время прибытия (пусто - нет отметки)</t>
  </si>
  <si>
    <t>Минимальная норма времени по ПДД, сек.</t>
  </si>
  <si>
    <t>Правильн. (внести вручную)</t>
  </si>
  <si>
    <t>Конверты</t>
  </si>
  <si>
    <t>Вскрыто</t>
  </si>
  <si>
    <t>Время, сек (в формате хх.х)</t>
  </si>
  <si>
    <t>Отметка (пусто - нет отметки)</t>
  </si>
  <si>
    <t>Номера блоков / стрелок / точек</t>
  </si>
  <si>
    <t xml:space="preserve"> </t>
  </si>
  <si>
    <t>Класс PRO</t>
  </si>
  <si>
    <t>да</t>
  </si>
  <si>
    <t>ОЛе! ОЛе! ОЛе! ОЛе!!!!!</t>
  </si>
  <si>
    <t>Н618АА750</t>
  </si>
  <si>
    <t>Ford Focus 2</t>
  </si>
  <si>
    <t>Р988КС67</t>
  </si>
  <si>
    <t>А065ВВ67</t>
  </si>
  <si>
    <t>#WDшка#</t>
  </si>
  <si>
    <t>Шитиков Евгений</t>
  </si>
  <si>
    <t>Renault Megane</t>
  </si>
  <si>
    <t>No Limits</t>
  </si>
  <si>
    <t>Афанасьев Никита</t>
  </si>
  <si>
    <t>Иванов Кирилл</t>
  </si>
  <si>
    <t>В243КУ154</t>
  </si>
  <si>
    <t>Чёрная молния</t>
  </si>
  <si>
    <t>В996МВ67</t>
  </si>
  <si>
    <t>кубарем</t>
  </si>
  <si>
    <t>Ярцево</t>
  </si>
  <si>
    <t>А299РР150</t>
  </si>
  <si>
    <t>Honda Civic</t>
  </si>
  <si>
    <t>Skoda Rapid</t>
  </si>
  <si>
    <t>Ford Fiesta</t>
  </si>
  <si>
    <t>Audi Q7</t>
  </si>
  <si>
    <t>Р827НН67</t>
  </si>
  <si>
    <t>Мальцев Кирилл</t>
  </si>
  <si>
    <t>Стартовая ведомость</t>
  </si>
  <si>
    <t>АрОл</t>
  </si>
  <si>
    <t>Hyundai Santa Fe</t>
  </si>
  <si>
    <t>с495на67</t>
  </si>
  <si>
    <t>РД: Если экипаж в зоне видимости поста остановился, резко изменил направление или скорость движения - вносим время прибытия "расчетное" (расчетное по мнению судьи, как если бы экипаж двигался с изначальной скоростью)</t>
  </si>
  <si>
    <t>РУ: Если экипаж в зоне видимости поста остановился, резко изменил направление или скорость движения - вносим соответсвующую отметку в "примечание" (такое поведение небезопасно)</t>
  </si>
  <si>
    <t>В графу "прибытие" вносим время ТОЛЬКО если подошел штурман экипажа и подал КК с просьбой отметить время прибытия, старт - в целую минут</t>
  </si>
  <si>
    <t>Открытие</t>
  </si>
  <si>
    <t>Закрытие</t>
  </si>
  <si>
    <t>час : мин : сек</t>
  </si>
  <si>
    <t>:           .</t>
  </si>
  <si>
    <t>мин  :  сек  .  дес</t>
  </si>
  <si>
    <t>результат</t>
  </si>
  <si>
    <t>ВКВ: Если экипаж в зоне видимости поста остановился, резко изменил направление или скорость движения - вносим время прибытия "расчетное" (расчетное по мнению судьи, как если бы экипаж двигался с изначальной скоростью), если экипаж не остановился - время все равно отмечаем, с примечанием "не остановился"</t>
  </si>
  <si>
    <t>ВКП: Отмечаем факт проезда экипажа мимо щита, если щит желтый - экипаж НЕ должен останавливаться, если красный - с отметкой в КК</t>
  </si>
  <si>
    <t>КВ: Отм. финиша - по пересечению желтого щита или подаче КК штурманом (в случае невозможности въезда на пост). Экипаж может "отстаиваться" перед желтым щитом, если это не мешает работе судей и других экипажей</t>
  </si>
  <si>
    <t>стартовые номера/наклейки</t>
  </si>
  <si>
    <t>шины</t>
  </si>
  <si>
    <t>огнетушитель</t>
  </si>
  <si>
    <t>знак аварийной остановки</t>
  </si>
  <si>
    <t>свет</t>
  </si>
  <si>
    <t>Ралли "Skoda Rally Weekend - 2017"</t>
  </si>
  <si>
    <t>Skoda Rally Weekend - 2017</t>
  </si>
  <si>
    <t>Пропуск ДС</t>
  </si>
  <si>
    <t>:       .</t>
  </si>
  <si>
    <t>КВ-0 Старт Skoda</t>
  </si>
  <si>
    <t>вкп</t>
  </si>
  <si>
    <t>вкв</t>
  </si>
  <si>
    <t>Время от предыдущей точки (РУ/РД), сек</t>
  </si>
  <si>
    <t>Суд. задержка на секторе, мин</t>
  </si>
  <si>
    <t>ВКВ-1</t>
  </si>
  <si>
    <t>ВКВ-2</t>
  </si>
  <si>
    <t>Грушин+</t>
  </si>
  <si>
    <t>Курилин+</t>
  </si>
  <si>
    <t>Борисов+</t>
  </si>
  <si>
    <t>16 декабря 2017</t>
  </si>
  <si>
    <t>Подкл.</t>
  </si>
  <si>
    <t>Место итог.</t>
  </si>
  <si>
    <t>Дистанция, км</t>
  </si>
  <si>
    <t>Интервал, км</t>
  </si>
  <si>
    <t>Расстояние общее, км</t>
  </si>
  <si>
    <t>по бюллетеню</t>
  </si>
  <si>
    <t>КВ-4 Финиш Skoda</t>
  </si>
  <si>
    <t>План (считаем от ДС-4 РД)</t>
  </si>
  <si>
    <t>совмещен с</t>
  </si>
  <si>
    <t>ФлК</t>
  </si>
  <si>
    <t>КВ-1 М1</t>
  </si>
  <si>
    <t>КВ-2 Окружная</t>
  </si>
  <si>
    <t>КВ-3 Родник</t>
  </si>
  <si>
    <t>От точки F на карте</t>
  </si>
  <si>
    <t>ДС РД Старт (ПДД-10 км/ч)</t>
  </si>
  <si>
    <t>Сеньково</t>
  </si>
  <si>
    <t>Астрогань</t>
  </si>
  <si>
    <t>ДС РД Старт (80% ПДД)</t>
  </si>
  <si>
    <t>Курдымово</t>
  </si>
  <si>
    <t>Попово</t>
  </si>
  <si>
    <t>Духовская</t>
  </si>
  <si>
    <t>с. Шишлово</t>
  </si>
  <si>
    <t>!!!</t>
  </si>
  <si>
    <t>!!</t>
  </si>
  <si>
    <t>Далее - карта от точки S</t>
  </si>
  <si>
    <t>!</t>
  </si>
  <si>
    <t>ПР вверх закр. затяж.</t>
  </si>
  <si>
    <t>ПР вниз закр. держись внутри</t>
  </si>
  <si>
    <t>ЛВ вверх</t>
  </si>
  <si>
    <t>ЛВ</t>
  </si>
  <si>
    <t>Васильев+Хасанова</t>
  </si>
  <si>
    <t>Филоненко</t>
  </si>
  <si>
    <t>Андронов</t>
  </si>
  <si>
    <t>ЛВ через перегиб вниз</t>
  </si>
  <si>
    <t>ДС-1 РД</t>
  </si>
  <si>
    <t>ДС-2 РУ</t>
  </si>
  <si>
    <t>ДС-3 РД</t>
  </si>
  <si>
    <t>ДС-4 СЛ</t>
  </si>
  <si>
    <t>План (считаем от ДС2 РУ)</t>
  </si>
  <si>
    <t>Работин+</t>
  </si>
  <si>
    <t>Далее - точка-стрелка в порядке возрастания номеров,
НАЧИНАЯ с поз. 3</t>
  </si>
  <si>
    <t>кочка в низине, сбрось скорость</t>
  </si>
  <si>
    <t>Света</t>
  </si>
  <si>
    <t>ЧасыК</t>
  </si>
  <si>
    <t>ЧасыЖ</t>
  </si>
  <si>
    <t>Работин</t>
  </si>
  <si>
    <t>Васильев</t>
  </si>
  <si>
    <t>Грушин</t>
  </si>
  <si>
    <t>Курилин</t>
  </si>
  <si>
    <t>Далее - точка-стрелка в порядке возрастания номеров, 
НАЧИНАЯ с поз. 3
УГЛЫ ПЕРЕСЕЧЕНИЯ ДОРОГ в поз. 3-19 на этой странице МОГУТ НЕ СООТВЕТСТВОВАТЬ РЕАЛЬНЫМ</t>
  </si>
  <si>
    <r>
      <t xml:space="preserve">19
</t>
    </r>
    <r>
      <rPr>
        <b/>
        <sz val="16"/>
        <rFont val="Calibri"/>
        <family val="2"/>
        <charset val="204"/>
        <scheme val="minor"/>
      </rPr>
      <t>переверни страницу быстро</t>
    </r>
  </si>
  <si>
    <t>GPS1</t>
  </si>
  <si>
    <t>GPS2</t>
  </si>
  <si>
    <t>словесное описание</t>
  </si>
  <si>
    <t>окружная дорога, поворот на Ковалево/Михейково</t>
  </si>
  <si>
    <t>едем по окружной, прямо перед пересечением со Старой смоленской поворот направо на грунт, через 160 м ответвление</t>
  </si>
  <si>
    <t>откуда едут экипажи</t>
  </si>
  <si>
    <t>Старая смоленская дорога, направление на Кардымово, после Гедеоновки - низина, потом подъем, в самом верху - поворот направо (иногда там ставят камеру)</t>
  </si>
  <si>
    <t>54.836045, 32.175301</t>
  </si>
  <si>
    <t>N 54 50.163 E 32 10.518</t>
  </si>
  <si>
    <t>54.873287, 32.224934</t>
  </si>
  <si>
    <t>N 54 52.397 E 32 13.496</t>
  </si>
  <si>
    <t>54.963619, 32.234937</t>
  </si>
  <si>
    <t>N 54 57.817 E 32 14.096</t>
  </si>
  <si>
    <t>54.849117, 32.251623</t>
  </si>
  <si>
    <t>N 54 50.947 E 32 15.097</t>
  </si>
  <si>
    <t>54.840103, 32.253215</t>
  </si>
  <si>
    <t>N 54 50.406 E 32 15.193</t>
  </si>
  <si>
    <t>со стороны Гедеоновки</t>
  </si>
  <si>
    <t>в сторону М1</t>
  </si>
  <si>
    <t>с М1</t>
  </si>
  <si>
    <t>в сторону окружной</t>
  </si>
  <si>
    <t>с М1 в сторону Старой смоленской</t>
  </si>
  <si>
    <t>1.1. Есть - ищем в списке заявленных экипажей, подписываем.</t>
  </si>
  <si>
    <t>1. Есть предварительная заявка?</t>
  </si>
  <si>
    <t>1.2. Нет - есть есть свободные Дорожные книги, то заполняем новую заявку, подписываем. Заявку оставляем себе. В протокол КВ-0 вносим время старта (следующую свободную минуту), тоже самое вносим в контрольную карту КВ-0 время старта.</t>
  </si>
  <si>
    <t>2.1. Лайт  - выдаем Дорожную книгу, Контрольную карту и Конверт.</t>
  </si>
  <si>
    <t>2. Какой класс?</t>
  </si>
  <si>
    <t>2.2. Про - выдаем Контрольную карту, Маршрутный лист и Конверт. Дорожную книгу получат на старте.</t>
  </si>
  <si>
    <t>3. Выдаем наклейки: стартовый номер большой, маленький, большую наклейку с лого ралли, маленькую наклейку с лого ралли.</t>
  </si>
  <si>
    <t>4. Сообщаем:</t>
  </si>
  <si>
    <t>4.1. время старта</t>
  </si>
  <si>
    <t>4.2. нужно пройти техинспекцию и получить отметку в КК (заведует Борисов)</t>
  </si>
  <si>
    <t>4.3. В 11:30 брифинг.</t>
  </si>
  <si>
    <t>4.4. официальные часы тут.</t>
  </si>
  <si>
    <t>5. Стартовых взносов нет.</t>
  </si>
  <si>
    <t>Секретариат - прием заявок до 11:30 или до 40 экипажей или пока не кончатся ДК (что наступит ранее)</t>
  </si>
  <si>
    <t>ул. Гагарина, 53, Шкода</t>
  </si>
  <si>
    <t>1. Иметь при себе: ручку, жилетку, синхронизированные часы, протоколы.</t>
  </si>
  <si>
    <t>2. К бамперу машины ставим желтый щит с часами, 10 м после машины - красный щит с часами, красный щит с флагом.</t>
  </si>
  <si>
    <t>3. На все вопросы участников - “не знаю” (кроме “сколько времени”).</t>
  </si>
  <si>
    <t>4. Экипаж может “отстаиваться” перед желтым щитом.</t>
  </si>
  <si>
    <t>5. Как только экипаж пересекает желтый щит или штурман подает КК (а пилот проезжает щит) - фиксируем время.</t>
  </si>
  <si>
    <t>6. Все записи времени с точностью до минуты (секунды отбрасываем).</t>
  </si>
  <si>
    <t>8. Назначаем экипажу время старта на ДС-2 РУ (в целую минуту, +0,5 или 1,5 минуты от прибытия) и записываем это время в графе ДС-2 РУ СТАРТ в КК экипажа.</t>
  </si>
  <si>
    <t>9. Если судья свободен, то “15 сек-10 сек-5-4-3-2-1”, если занят, то “стартуете сами в свою минуту”.</t>
  </si>
  <si>
    <t>10. По заполнению листа отправляем его фото Главному секретарю соревнований по Viber/Whatsapp.</t>
  </si>
  <si>
    <t>11. После прохода всех экипажей или окончания работы поста по времени - сдаем протоколы, часы, щиты, жилетки. Финиш - Шкода, Гагарина, 53</t>
  </si>
  <si>
    <t>12. Также фиксируем нарушения ПДД (ремни, свет)</t>
  </si>
  <si>
    <t>2. К бамперу машины ставим красный щит с клетчатым флагом.</t>
  </si>
  <si>
    <r>
      <t>5. Как только экипаж пересекает щит - фиксируем время в протоколе</t>
    </r>
    <r>
      <rPr>
        <b/>
        <sz val="11"/>
        <color theme="1"/>
        <rFont val="Calibri"/>
        <family val="2"/>
        <charset val="204"/>
        <scheme val="minor"/>
      </rPr>
      <t xml:space="preserve"> до секунд </t>
    </r>
    <r>
      <rPr>
        <sz val="11"/>
        <color theme="1"/>
        <rFont val="Calibri"/>
        <family val="2"/>
        <charset val="204"/>
        <scheme val="minor"/>
      </rPr>
      <t xml:space="preserve">и записываем номер экипажа. Если номер не увидели - марку/модель/номер машины. </t>
    </r>
    <r>
      <rPr>
        <b/>
        <sz val="11"/>
        <color theme="1"/>
        <rFont val="Calibri"/>
        <family val="2"/>
        <charset val="204"/>
        <scheme val="minor"/>
      </rPr>
      <t>Старт бесконтактный - ОТМЕТКИ В КОНТРОЛЬНОЙ КАРТЕ НЕТ.</t>
    </r>
  </si>
  <si>
    <r>
      <t xml:space="preserve">6. Все записи времени с точностью </t>
    </r>
    <r>
      <rPr>
        <b/>
        <sz val="11"/>
        <color theme="1"/>
        <rFont val="Calibri"/>
        <family val="2"/>
        <charset val="204"/>
        <scheme val="minor"/>
      </rPr>
      <t>до секунд</t>
    </r>
    <r>
      <rPr>
        <sz val="11"/>
        <color theme="1"/>
        <rFont val="Calibri"/>
        <family val="2"/>
        <charset val="204"/>
        <scheme val="minor"/>
      </rPr>
      <t>.</t>
    </r>
  </si>
  <si>
    <t>7. По заполнению листа отправляем его фото Главному секретарю соревнований по Viber/Whatsapp.</t>
  </si>
  <si>
    <t>8. После прохода всех экипажей или окончания работы поста по времени - сдаем протоколы, часы, щиты, жилетки. Финиш - Шкода, Гагарина, 53</t>
  </si>
  <si>
    <t>9. Также фиксируем нарушения ПДД (ремни, свет)</t>
  </si>
  <si>
    <t>4. Экипаж может “отстаиваться” перед щитом (не заслоняя при этом щит).</t>
  </si>
  <si>
    <t>2. К бамперу машины ставим красный щит с флагом.</t>
  </si>
  <si>
    <t>Часы красн.</t>
  </si>
  <si>
    <t>Часы желт., Часы красн.</t>
  </si>
  <si>
    <t>Клетчатый кр. фл.</t>
  </si>
  <si>
    <t>Красн. фл.</t>
  </si>
  <si>
    <t>Часы желт., Часы красн., Красн. фл.</t>
  </si>
  <si>
    <t>Красн. фл., Клетчатый кр. фл.</t>
  </si>
  <si>
    <r>
      <t xml:space="preserve">4.Как только экипаж пересекает щит - фиксируем время в протоколе </t>
    </r>
    <r>
      <rPr>
        <b/>
        <sz val="11"/>
        <color theme="1"/>
        <rFont val="Calibri"/>
        <family val="2"/>
        <charset val="204"/>
        <scheme val="minor"/>
      </rPr>
      <t xml:space="preserve">до секунд </t>
    </r>
    <r>
      <rPr>
        <sz val="11"/>
        <color theme="1"/>
        <rFont val="Calibri"/>
        <family val="2"/>
        <charset val="204"/>
        <scheme val="minor"/>
      </rPr>
      <t xml:space="preserve">и записываем номер экипажа. Если номер не увидели - марку/модель/номер машины. Финиш бесконтактный - </t>
    </r>
    <r>
      <rPr>
        <b/>
        <sz val="11"/>
        <color theme="1"/>
        <rFont val="Calibri"/>
        <family val="2"/>
        <charset val="204"/>
        <scheme val="minor"/>
      </rPr>
      <t>ОТМЕТКИ В КОНТРОЛЬНОЙ КАРТЕ НЕТ.</t>
    </r>
  </si>
  <si>
    <t>5. Если экипаж остановился или сильно замедлился - фиксируем время/номер (как будто он проехал мимо нас).</t>
  </si>
  <si>
    <t>6. Если экипаж остановился возле нас - показываем чтобы ехал дальше.</t>
  </si>
  <si>
    <t>5. Если экипаж остановился или сильно замедлился до поста - убираем его как можно скорее - это небезопасно, фиксиуем нарушение в протоколе.</t>
  </si>
  <si>
    <t>КВ-0 Старт</t>
  </si>
  <si>
    <t>1. Протокол КВ-0 Старт уже должен быть заполнен.</t>
  </si>
  <si>
    <t>2. Автомобиль становится перед красными щитами.</t>
  </si>
  <si>
    <t>3. Если ПРО - выдаем ДК.</t>
  </si>
  <si>
    <t>4. Графу "факт." заполняем только в том случае, если экипаж стартовал во время, отличное от назначенного (с указанием причины в примечаниях)</t>
  </si>
  <si>
    <t>5. Главный - 15 сек-10 сек-5-4-3-2-1-Старт.</t>
  </si>
  <si>
    <t>6. По заполнению листа отправляем его фото Главному секретарю соревнований по Viber/Whatsapp.</t>
  </si>
  <si>
    <t>7. После прохода всех экипажей или окончания работы поста по времени - сдаем протоколы, часы, щиты, жилетки. Финиш - Шкода, Гагарина, 53</t>
  </si>
  <si>
    <t>8. Также фиксируем нарушения ПДД (ремни, свет)</t>
  </si>
  <si>
    <t>7. Записываем в протоколе номер экипажа и время в графе Отметка в протоколе и в КК в графе КВ-1 М1.</t>
  </si>
  <si>
    <t>7. Записываем в протоколе номер экипажа и время в графе Отметка в протоколе и в КК в графе КВ-2 Окружная.</t>
  </si>
  <si>
    <t>8. Экипаж может ехать</t>
  </si>
  <si>
    <t>9. По заполнению листа отправляем его фото Главному секретарю соревнований по Viber/Whatsapp.</t>
  </si>
  <si>
    <t>10. После прохода всех экипажей или окончания работы поста по времени - сдаем протоколы, часы, щиты, жилетки. Финиш - Шкода, Гагарина, 53</t>
  </si>
  <si>
    <t>11. Также фиксируем нарушения ПДД (ремни, свет)</t>
  </si>
  <si>
    <t>Время работы: в протоколе</t>
  </si>
  <si>
    <t>Финиш находится в здании, выставить желтый и красный щиты рядом</t>
  </si>
  <si>
    <t>По подаче КК - фиксируем время в КК (КВ-4  Финиш Шкода) и в протоколе.</t>
  </si>
  <si>
    <t>Забираем КК, неиспользованные конверты.</t>
  </si>
  <si>
    <t>Говорим, что далее - слалом в порядке общей очереди.</t>
  </si>
  <si>
    <t>КВ-4 Финиш Шкода, время работы с 14:28 до 15:48</t>
  </si>
  <si>
    <t>окружная дорога, перед пересечением со Старой смоленской, возле щита со схемой развязки</t>
  </si>
  <si>
    <t>поворот с М1 на Бережняны, 960 м прямо, потом 90 м, береза справа</t>
  </si>
  <si>
    <t>РУРДст: В графу "прибытие" вносим время ТОЛЬКО если подошел штурман экипажа и подал КК с просьбой отметить время прибытия, старт - в целую минут</t>
  </si>
  <si>
    <t>54.846536, 32.277214</t>
  </si>
  <si>
    <t>N 54 50.792 E 32 16.633</t>
  </si>
  <si>
    <t>Матиз</t>
  </si>
  <si>
    <t>KIA Sportage</t>
  </si>
  <si>
    <t>MAZDA6 Sport Wagon</t>
  </si>
  <si>
    <t>Suzuki Jimni</t>
  </si>
  <si>
    <t>The Markows</t>
  </si>
  <si>
    <t>Форд Фокус 2</t>
  </si>
  <si>
    <t>Марков Игорь</t>
  </si>
  <si>
    <t>Полонский Сергей</t>
  </si>
  <si>
    <t>Самураи</t>
  </si>
  <si>
    <t>toyota levin</t>
  </si>
  <si>
    <t>Подольский Андрей</t>
  </si>
  <si>
    <t>Давыдов Николай</t>
  </si>
  <si>
    <t>Котаны</t>
  </si>
  <si>
    <t>Acura, MDX</t>
  </si>
  <si>
    <t>Александров Михаил Владимирович</t>
  </si>
  <si>
    <t>Шибковский Наталья</t>
  </si>
  <si>
    <t>ЮЛРУ</t>
  </si>
  <si>
    <t>Аутлендер 3</t>
  </si>
  <si>
    <t>Абрамцов Руслан</t>
  </si>
  <si>
    <t>Лукьянова Юля</t>
  </si>
  <si>
    <t>Toyota Avensis</t>
  </si>
  <si>
    <t>Партизаны</t>
  </si>
  <si>
    <t>Mazda-Tribute</t>
  </si>
  <si>
    <t>Василькова Ирина</t>
  </si>
  <si>
    <t>Лецкий Евгений</t>
  </si>
  <si>
    <t>Сергей Иванов</t>
  </si>
  <si>
    <t>Павел Шеститко</t>
  </si>
  <si>
    <t>2К</t>
  </si>
  <si>
    <t>Ваз 21041</t>
  </si>
  <si>
    <t>Seat Altea</t>
  </si>
  <si>
    <t>Жуков Максим</t>
  </si>
  <si>
    <t>Ткач Александр</t>
  </si>
  <si>
    <t>Ткач Оксана</t>
  </si>
  <si>
    <t>105 элемент</t>
  </si>
  <si>
    <t>Шкредов Артём</t>
  </si>
  <si>
    <t>Шкредов Олег</t>
  </si>
  <si>
    <t>а860ау67</t>
  </si>
  <si>
    <t>А001АА32</t>
  </si>
  <si>
    <t>89686281934, 89996214749</t>
  </si>
  <si>
    <t>Брянск</t>
  </si>
  <si>
    <t>в065оу750</t>
  </si>
  <si>
    <t>Дубна</t>
  </si>
  <si>
    <t>Е754НТ67</t>
  </si>
  <si>
    <t>к422мт67</t>
  </si>
  <si>
    <t>М 967ММ 67</t>
  </si>
  <si>
    <t>К906КУ60</t>
  </si>
  <si>
    <t>у838нр67</t>
  </si>
  <si>
    <t>Т052МР67</t>
  </si>
  <si>
    <t>‭89529957199‬</t>
  </si>
  <si>
    <t>mini cooper</t>
  </si>
  <si>
    <t>C980EK 197</t>
  </si>
  <si>
    <t>Анастасия Гончарова</t>
  </si>
  <si>
    <t>Артем Калюгин</t>
  </si>
  <si>
    <t>Т797НР</t>
  </si>
  <si>
    <t>В889КС67</t>
  </si>
  <si>
    <t>к123нр67</t>
  </si>
  <si>
    <t>а848нр67</t>
  </si>
  <si>
    <t>Гусино</t>
  </si>
  <si>
    <t>Кухарчук Сергей</t>
  </si>
  <si>
    <t>‭89107872406‬</t>
  </si>
  <si>
    <t>ФИО</t>
  </si>
  <si>
    <t>Время</t>
  </si>
  <si>
    <t>Никитин Глеб Александрович</t>
  </si>
  <si>
    <t>Финиш</t>
  </si>
  <si>
    <t>Баллы</t>
  </si>
  <si>
    <t>РУДНЯ</t>
  </si>
  <si>
    <t>Renault SANDERO</t>
  </si>
  <si>
    <t>Подобуев Николай</t>
  </si>
  <si>
    <t>Журавлев Максим</t>
  </si>
  <si>
    <t>Титов Алексей Васильевич</t>
  </si>
  <si>
    <t>телефон</t>
  </si>
  <si>
    <t>Филиппенкова Виктория Валерьевна</t>
  </si>
  <si>
    <t>Гайлит Сергей Владимировач</t>
  </si>
  <si>
    <t>Черненков Иван Викторович</t>
  </si>
  <si>
    <t>Шкредов Артем Васильевич</t>
  </si>
  <si>
    <t>Власенков Кирилл Николаевич</t>
  </si>
  <si>
    <t>Козлов Юрий Вячеслвович</t>
  </si>
  <si>
    <t>Андронов Леонид Евгеньевич</t>
  </si>
  <si>
    <t>РВИ</t>
  </si>
  <si>
    <t>РАЛ</t>
  </si>
  <si>
    <t>Давыдов Николай Николаевич</t>
  </si>
  <si>
    <t>РА</t>
  </si>
  <si>
    <t>ВР</t>
  </si>
  <si>
    <t>РВАЛР</t>
  </si>
  <si>
    <t>АЛ</t>
  </si>
  <si>
    <t>РИ</t>
  </si>
  <si>
    <t>РВ</t>
  </si>
  <si>
    <t>РВАЛ</t>
  </si>
  <si>
    <t>Р</t>
  </si>
  <si>
    <t>300 с. снять вытаскивали №17</t>
  </si>
  <si>
    <t>40 с. снять вытаскивали №3</t>
  </si>
  <si>
    <t>Морозова Юлия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</si>
</sst>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0"/>
    <numFmt numFmtId="165" formatCode="h:mm;@"/>
    <numFmt numFmtId="166" formatCode="0.0"/>
  </numFmts>
  <fonts count="50" x14ac:knownFonts="1">
    <font>
      <sz val="11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6"/>
      <color indexed="8"/>
      <name val="Calibri"/>
      <family val="2"/>
      <charset val="204"/>
    </font>
    <font>
      <b/>
      <sz val="16"/>
      <name val="Calibri"/>
      <family val="2"/>
      <charset val="204"/>
      <scheme val="minor"/>
    </font>
    <font>
      <b/>
      <i/>
      <sz val="10"/>
      <color theme="0"/>
      <name val="Calibri"/>
      <family val="2"/>
      <charset val="204"/>
      <scheme val="minor"/>
    </font>
    <font>
      <b/>
      <sz val="16"/>
      <color theme="0"/>
      <name val="Calibri"/>
      <family val="2"/>
      <charset val="204"/>
    </font>
    <font>
      <b/>
      <sz val="14"/>
      <color theme="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36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b/>
      <sz val="18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48"/>
      <name val="Calibri"/>
      <family val="2"/>
      <charset val="204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</font>
    <font>
      <sz val="12"/>
      <name val="Calibri"/>
      <family val="2"/>
      <charset val="204"/>
      <scheme val="minor"/>
    </font>
    <font>
      <sz val="14"/>
      <color theme="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strike/>
      <sz val="11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sz val="16"/>
      <name val="Calibri"/>
      <family val="2"/>
      <charset val="204"/>
    </font>
    <font>
      <sz val="36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b/>
      <sz val="36"/>
      <color theme="1"/>
      <name val="Calibri"/>
      <family val="2"/>
      <charset val="204"/>
      <scheme val="minor"/>
    </font>
    <font>
      <b/>
      <sz val="72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6"/>
      <name val="Calibri"/>
      <family val="2"/>
      <charset val="204"/>
    </font>
    <font>
      <b/>
      <sz val="11"/>
      <name val="Calibri"/>
      <family val="2"/>
      <charset val="204"/>
      <scheme val="minor"/>
    </font>
    <font>
      <b/>
      <i/>
      <sz val="18"/>
      <color theme="0"/>
      <name val="Calibri"/>
      <family val="2"/>
      <charset val="20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966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auto="1"/>
      </left>
      <right/>
      <top/>
      <bottom style="hair">
        <color indexed="64"/>
      </bottom>
      <diagonal/>
    </border>
    <border diagonalUp="1" diagonalDown="1"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 style="thin">
        <color indexed="64"/>
      </diagonal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 diagonalUp="1" diagonalDown="1">
      <left style="medium">
        <color indexed="64"/>
      </left>
      <right/>
      <top style="medium">
        <color indexed="64"/>
      </top>
      <bottom style="medium">
        <color indexed="64"/>
      </bottom>
      <diagonal style="thin">
        <color indexed="64"/>
      </diagonal>
    </border>
    <border diagonalUp="1" diagonalDown="1">
      <left/>
      <right/>
      <top style="medium">
        <color indexed="64"/>
      </top>
      <bottom style="medium">
        <color indexed="64"/>
      </bottom>
      <diagonal style="thin">
        <color indexed="64"/>
      </diagonal>
    </border>
    <border diagonalUp="1" diagonalDown="1">
      <left/>
      <right style="medium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 diagonalUp="1" diagonalDown="1">
      <left style="thin">
        <color indexed="64"/>
      </left>
      <right/>
      <top style="hair">
        <color indexed="64"/>
      </top>
      <bottom style="hair">
        <color indexed="64"/>
      </bottom>
      <diagonal style="thin">
        <color indexed="64"/>
      </diagonal>
    </border>
    <border diagonalUp="1" diagonalDown="1">
      <left/>
      <right/>
      <top style="hair">
        <color indexed="64"/>
      </top>
      <bottom style="hair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 diagonalUp="1" diagonalDown="1"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 style="thin">
        <color indexed="64"/>
      </diagonal>
    </border>
    <border diagonalUp="1" diagonalDown="1"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</borders>
  <cellStyleXfs count="1">
    <xf numFmtId="0" fontId="0" fillId="0" borderId="0"/>
  </cellStyleXfs>
  <cellXfs count="602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0" fillId="0" borderId="4" xfId="0" applyFont="1" applyBorder="1" applyAlignment="1">
      <alignment vertical="center"/>
    </xf>
    <xf numFmtId="0" fontId="0" fillId="0" borderId="5" xfId="0" applyFont="1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6" xfId="0" applyFont="1" applyBorder="1" applyAlignment="1">
      <alignment vertical="center"/>
    </xf>
    <xf numFmtId="0" fontId="0" fillId="0" borderId="1" xfId="0" applyFont="1" applyBorder="1" applyAlignment="1">
      <alignment horizontal="center" vertical="center"/>
    </xf>
    <xf numFmtId="2" fontId="0" fillId="0" borderId="1" xfId="0" applyNumberFormat="1" applyFont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2" fontId="0" fillId="0" borderId="1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Alignment="1">
      <alignment textRotation="180"/>
    </xf>
    <xf numFmtId="0" fontId="0" fillId="0" borderId="0" xfId="0" applyAlignment="1">
      <alignment vertical="center"/>
    </xf>
    <xf numFmtId="0" fontId="5" fillId="7" borderId="1" xfId="0" applyNumberFormat="1" applyFont="1" applyFill="1" applyBorder="1" applyAlignment="1">
      <alignment vertical="center"/>
    </xf>
    <xf numFmtId="0" fontId="9" fillId="7" borderId="1" xfId="0" applyNumberFormat="1" applyFont="1" applyFill="1" applyBorder="1" applyAlignment="1">
      <alignment horizontal="right" vertical="center"/>
    </xf>
    <xf numFmtId="2" fontId="5" fillId="7" borderId="1" xfId="0" applyNumberFormat="1" applyFont="1" applyFill="1" applyBorder="1" applyAlignment="1">
      <alignment vertical="center"/>
    </xf>
    <xf numFmtId="0" fontId="16" fillId="0" borderId="0" xfId="0" applyFont="1" applyFill="1" applyAlignment="1">
      <alignment vertical="center"/>
    </xf>
    <xf numFmtId="0" fontId="7" fillId="0" borderId="0" xfId="0" applyFont="1" applyBorder="1" applyAlignment="1">
      <alignment vertical="center"/>
    </xf>
    <xf numFmtId="2" fontId="2" fillId="0" borderId="31" xfId="0" applyNumberFormat="1" applyFont="1" applyBorder="1" applyAlignment="1">
      <alignment horizontal="center" vertical="center"/>
    </xf>
    <xf numFmtId="165" fontId="2" fillId="0" borderId="30" xfId="0" applyNumberFormat="1" applyFont="1" applyBorder="1" applyAlignment="1">
      <alignment horizontal="center" vertical="center"/>
    </xf>
    <xf numFmtId="20" fontId="2" fillId="0" borderId="30" xfId="0" applyNumberFormat="1" applyFont="1" applyBorder="1" applyAlignment="1">
      <alignment horizontal="center" vertical="center"/>
    </xf>
    <xf numFmtId="0" fontId="0" fillId="0" borderId="0" xfId="0" applyNumberFormat="1" applyAlignment="1">
      <alignment vertical="center"/>
    </xf>
    <xf numFmtId="0" fontId="0" fillId="0" borderId="0" xfId="0" applyNumberFormat="1" applyBorder="1" applyAlignment="1">
      <alignment vertical="center"/>
    </xf>
    <xf numFmtId="0" fontId="0" fillId="0" borderId="0" xfId="0" applyNumberFormat="1" applyFill="1" applyAlignment="1">
      <alignment vertical="center"/>
    </xf>
    <xf numFmtId="0" fontId="18" fillId="0" borderId="0" xfId="0" applyNumberFormat="1" applyFont="1" applyAlignment="1">
      <alignment vertical="center"/>
    </xf>
    <xf numFmtId="0" fontId="0" fillId="0" borderId="0" xfId="0" applyBorder="1" applyAlignment="1">
      <alignment vertical="center"/>
    </xf>
    <xf numFmtId="0" fontId="4" fillId="0" borderId="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18" fillId="0" borderId="0" xfId="0" applyFont="1" applyFill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0" xfId="0" applyFont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2" fillId="6" borderId="0" xfId="0" applyNumberFormat="1" applyFont="1" applyFill="1" applyBorder="1" applyAlignment="1">
      <alignment vertical="center"/>
    </xf>
    <xf numFmtId="0" fontId="24" fillId="0" borderId="0" xfId="0" applyNumberFormat="1" applyFont="1" applyFill="1" applyBorder="1" applyAlignment="1">
      <alignment vertical="center"/>
    </xf>
    <xf numFmtId="0" fontId="24" fillId="0" borderId="0" xfId="0" applyNumberFormat="1" applyFont="1" applyFill="1" applyAlignment="1">
      <alignment vertical="center"/>
    </xf>
    <xf numFmtId="0" fontId="26" fillId="0" borderId="0" xfId="0" applyNumberFormat="1" applyFont="1" applyFill="1" applyAlignment="1">
      <alignment vertical="center"/>
    </xf>
    <xf numFmtId="0" fontId="25" fillId="0" borderId="0" xfId="0" applyNumberFormat="1" applyFont="1" applyFill="1" applyAlignment="1">
      <alignment vertical="center"/>
    </xf>
    <xf numFmtId="0" fontId="26" fillId="0" borderId="32" xfId="0" applyNumberFormat="1" applyFont="1" applyFill="1" applyBorder="1" applyAlignment="1">
      <alignment vertical="center"/>
    </xf>
    <xf numFmtId="0" fontId="0" fillId="0" borderId="0" xfId="0" applyBorder="1"/>
    <xf numFmtId="0" fontId="14" fillId="0" borderId="0" xfId="0" applyFont="1" applyFill="1" applyBorder="1" applyAlignment="1">
      <alignment vertical="center"/>
    </xf>
    <xf numFmtId="0" fontId="19" fillId="0" borderId="0" xfId="0" applyFont="1" applyBorder="1" applyAlignment="1">
      <alignment vertical="center"/>
    </xf>
    <xf numFmtId="2" fontId="2" fillId="0" borderId="29" xfId="0" applyNumberFormat="1" applyFont="1" applyBorder="1" applyAlignment="1">
      <alignment horizontal="center" vertical="center"/>
    </xf>
    <xf numFmtId="0" fontId="2" fillId="0" borderId="31" xfId="0" applyNumberFormat="1" applyFont="1" applyBorder="1" applyAlignment="1">
      <alignment horizontal="center" vertical="center"/>
    </xf>
    <xf numFmtId="2" fontId="0" fillId="0" borderId="0" xfId="0" applyNumberFormat="1"/>
    <xf numFmtId="0" fontId="27" fillId="0" borderId="31" xfId="0" applyNumberFormat="1" applyFont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1" xfId="0" applyBorder="1" applyAlignment="1">
      <alignment vertical="center"/>
    </xf>
    <xf numFmtId="0" fontId="0" fillId="0" borderId="31" xfId="0" applyBorder="1" applyAlignment="1">
      <alignment horizontal="left" vertical="center"/>
    </xf>
    <xf numFmtId="0" fontId="0" fillId="0" borderId="40" xfId="0" applyBorder="1" applyAlignment="1">
      <alignment horizontal="center" vertical="center"/>
    </xf>
    <xf numFmtId="0" fontId="0" fillId="0" borderId="40" xfId="0" applyBorder="1" applyAlignment="1">
      <alignment vertical="center"/>
    </xf>
    <xf numFmtId="0" fontId="0" fillId="0" borderId="40" xfId="0" applyBorder="1" applyAlignment="1">
      <alignment horizontal="left" vertical="center"/>
    </xf>
    <xf numFmtId="0" fontId="14" fillId="0" borderId="0" xfId="0" applyNumberFormat="1" applyFont="1" applyFill="1" applyBorder="1" applyAlignment="1">
      <alignment vertical="center"/>
    </xf>
    <xf numFmtId="0" fontId="10" fillId="0" borderId="0" xfId="0" applyNumberFormat="1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" fillId="0" borderId="0" xfId="0" applyFont="1" applyAlignment="1">
      <alignment vertical="center"/>
    </xf>
    <xf numFmtId="21" fontId="0" fillId="3" borderId="31" xfId="0" applyNumberFormat="1" applyFill="1" applyBorder="1" applyAlignment="1">
      <alignment horizontal="center"/>
    </xf>
    <xf numFmtId="49" fontId="15" fillId="0" borderId="0" xfId="0" applyNumberFormat="1" applyFont="1" applyFill="1" applyBorder="1" applyAlignment="1">
      <alignment vertical="center"/>
    </xf>
    <xf numFmtId="0" fontId="0" fillId="0" borderId="0" xfId="0" applyFill="1"/>
    <xf numFmtId="20" fontId="0" fillId="5" borderId="0" xfId="0" applyNumberFormat="1" applyFill="1"/>
    <xf numFmtId="49" fontId="0" fillId="5" borderId="0" xfId="0" applyNumberFormat="1" applyFill="1"/>
    <xf numFmtId="0" fontId="0" fillId="5" borderId="0" xfId="0" applyFill="1"/>
    <xf numFmtId="0" fontId="0" fillId="0" borderId="29" xfId="0" applyFill="1" applyBorder="1" applyAlignment="1">
      <alignment horizontal="center" vertical="center"/>
    </xf>
    <xf numFmtId="0" fontId="0" fillId="5" borderId="31" xfId="0" applyFill="1" applyBorder="1" applyAlignment="1">
      <alignment horizontal="center"/>
    </xf>
    <xf numFmtId="20" fontId="0" fillId="0" borderId="29" xfId="0" applyNumberFormat="1" applyFill="1" applyBorder="1" applyAlignment="1">
      <alignment horizontal="center"/>
    </xf>
    <xf numFmtId="0" fontId="0" fillId="3" borderId="31" xfId="0" applyNumberFormat="1" applyFill="1" applyBorder="1" applyAlignment="1">
      <alignment horizontal="center" vertical="center"/>
    </xf>
    <xf numFmtId="20" fontId="0" fillId="3" borderId="31" xfId="0" applyNumberFormat="1" applyFill="1" applyBorder="1" applyAlignment="1">
      <alignment horizontal="center" vertical="center"/>
    </xf>
    <xf numFmtId="20" fontId="0" fillId="0" borderId="31" xfId="0" applyNumberFormat="1" applyBorder="1" applyAlignment="1">
      <alignment horizontal="center"/>
    </xf>
    <xf numFmtId="0" fontId="0" fillId="5" borderId="31" xfId="0" applyNumberFormat="1" applyFill="1" applyBorder="1" applyAlignment="1">
      <alignment horizontal="center" vertical="center"/>
    </xf>
    <xf numFmtId="0" fontId="0" fillId="3" borderId="31" xfId="0" applyNumberFormat="1" applyFill="1" applyBorder="1" applyAlignment="1">
      <alignment horizontal="center"/>
    </xf>
    <xf numFmtId="0" fontId="0" fillId="3" borderId="31" xfId="0" applyFill="1" applyBorder="1" applyAlignment="1">
      <alignment horizontal="center" vertical="center"/>
    </xf>
    <xf numFmtId="0" fontId="0" fillId="0" borderId="31" xfId="0" applyBorder="1" applyAlignment="1">
      <alignment horizontal="center"/>
    </xf>
    <xf numFmtId="21" fontId="0" fillId="0" borderId="31" xfId="0" applyNumberFormat="1" applyBorder="1" applyAlignment="1">
      <alignment horizontal="center"/>
    </xf>
    <xf numFmtId="0" fontId="0" fillId="3" borderId="29" xfId="0" applyNumberFormat="1" applyFill="1" applyBorder="1" applyAlignment="1">
      <alignment horizontal="center" vertical="center"/>
    </xf>
    <xf numFmtId="20" fontId="0" fillId="0" borderId="31" xfId="0" applyNumberFormat="1" applyFill="1" applyBorder="1" applyAlignment="1">
      <alignment horizontal="center" vertical="center"/>
    </xf>
    <xf numFmtId="0" fontId="0" fillId="0" borderId="30" xfId="0" applyBorder="1"/>
    <xf numFmtId="0" fontId="12" fillId="6" borderId="0" xfId="0" applyFont="1" applyFill="1" applyBorder="1" applyAlignment="1">
      <alignment vertical="center"/>
    </xf>
    <xf numFmtId="1" fontId="12" fillId="6" borderId="0" xfId="0" applyNumberFormat="1" applyFont="1" applyFill="1" applyBorder="1" applyAlignment="1">
      <alignment vertical="center"/>
    </xf>
    <xf numFmtId="0" fontId="5" fillId="6" borderId="44" xfId="0" applyFont="1" applyFill="1" applyBorder="1" applyAlignment="1">
      <alignment horizontal="center" vertical="center" wrapText="1"/>
    </xf>
    <xf numFmtId="0" fontId="5" fillId="6" borderId="45" xfId="0" applyFont="1" applyFill="1" applyBorder="1" applyAlignment="1">
      <alignment horizontal="center" vertical="center" wrapText="1"/>
    </xf>
    <xf numFmtId="0" fontId="5" fillId="6" borderId="46" xfId="0" applyFont="1" applyFill="1" applyBorder="1" applyAlignment="1">
      <alignment horizontal="center" vertical="center" wrapText="1"/>
    </xf>
    <xf numFmtId="2" fontId="24" fillId="0" borderId="1" xfId="0" applyNumberFormat="1" applyFont="1" applyBorder="1" applyAlignment="1">
      <alignment horizontal="center" vertical="center"/>
    </xf>
    <xf numFmtId="2" fontId="24" fillId="0" borderId="1" xfId="0" applyNumberFormat="1" applyFont="1" applyFill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right" vertical="center"/>
    </xf>
    <xf numFmtId="2" fontId="5" fillId="6" borderId="1" xfId="0" applyNumberFormat="1" applyFont="1" applyFill="1" applyBorder="1" applyAlignment="1">
      <alignment vertical="center"/>
    </xf>
    <xf numFmtId="0" fontId="6" fillId="0" borderId="0" xfId="0" applyFont="1" applyBorder="1" applyAlignment="1"/>
    <xf numFmtId="0" fontId="0" fillId="0" borderId="1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2" fontId="0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2" fontId="0" fillId="0" borderId="8" xfId="0" applyNumberFormat="1" applyFont="1" applyFill="1" applyBorder="1" applyAlignment="1">
      <alignment horizontal="center" vertical="center"/>
    </xf>
    <xf numFmtId="0" fontId="0" fillId="0" borderId="8" xfId="0" applyFont="1" applyFill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2" fontId="0" fillId="0" borderId="6" xfId="0" applyNumberFormat="1" applyFont="1" applyFill="1" applyBorder="1" applyAlignment="1">
      <alignment horizontal="center" vertical="center"/>
    </xf>
    <xf numFmtId="2" fontId="0" fillId="0" borderId="9" xfId="0" applyNumberFormat="1" applyFont="1" applyFill="1" applyBorder="1" applyAlignment="1">
      <alignment horizontal="center" vertical="center"/>
    </xf>
    <xf numFmtId="0" fontId="29" fillId="0" borderId="0" xfId="0" applyFont="1"/>
    <xf numFmtId="0" fontId="24" fillId="0" borderId="40" xfId="0" applyFont="1" applyFill="1" applyBorder="1" applyAlignment="1">
      <alignment vertical="center"/>
    </xf>
    <xf numFmtId="0" fontId="24" fillId="0" borderId="31" xfId="0" applyFont="1" applyFill="1" applyBorder="1" applyAlignment="1">
      <alignment vertical="center"/>
    </xf>
    <xf numFmtId="0" fontId="24" fillId="0" borderId="40" xfId="0" applyFont="1" applyFill="1" applyBorder="1" applyAlignment="1">
      <alignment horizontal="center" vertical="center"/>
    </xf>
    <xf numFmtId="0" fontId="24" fillId="0" borderId="3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0" xfId="0" applyFont="1"/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vertical="center"/>
    </xf>
    <xf numFmtId="0" fontId="5" fillId="6" borderId="45" xfId="0" applyFont="1" applyFill="1" applyBorder="1" applyAlignment="1">
      <alignment horizontal="center" vertical="center" textRotation="180" wrapText="1"/>
    </xf>
    <xf numFmtId="0" fontId="5" fillId="6" borderId="46" xfId="0" applyFont="1" applyFill="1" applyBorder="1" applyAlignment="1">
      <alignment horizontal="center" vertical="center" textRotation="180" wrapText="1"/>
    </xf>
    <xf numFmtId="2" fontId="2" fillId="0" borderId="51" xfId="0" applyNumberFormat="1" applyFont="1" applyBorder="1" applyAlignment="1">
      <alignment horizontal="center" vertical="center"/>
    </xf>
    <xf numFmtId="0" fontId="2" fillId="0" borderId="40" xfId="0" applyNumberFormat="1" applyFont="1" applyBorder="1" applyAlignment="1">
      <alignment horizontal="center" vertical="center"/>
    </xf>
    <xf numFmtId="2" fontId="2" fillId="0" borderId="40" xfId="0" applyNumberFormat="1" applyFont="1" applyBorder="1" applyAlignment="1">
      <alignment horizontal="center" vertical="center"/>
    </xf>
    <xf numFmtId="0" fontId="2" fillId="0" borderId="52" xfId="0" applyFont="1" applyBorder="1" applyAlignment="1">
      <alignment horizontal="center" vertical="center"/>
    </xf>
    <xf numFmtId="0" fontId="11" fillId="6" borderId="45" xfId="0" applyNumberFormat="1" applyFont="1" applyFill="1" applyBorder="1" applyAlignment="1">
      <alignment horizontal="center" vertical="center"/>
    </xf>
    <xf numFmtId="2" fontId="11" fillId="6" borderId="45" xfId="0" applyNumberFormat="1" applyFont="1" applyFill="1" applyBorder="1" applyAlignment="1">
      <alignment horizontal="center" vertical="center"/>
    </xf>
    <xf numFmtId="2" fontId="11" fillId="6" borderId="46" xfId="0" applyNumberFormat="1" applyFont="1" applyFill="1" applyBorder="1" applyAlignment="1">
      <alignment horizontal="center" vertical="center"/>
    </xf>
    <xf numFmtId="0" fontId="11" fillId="6" borderId="45" xfId="0" applyFont="1" applyFill="1" applyBorder="1" applyAlignment="1">
      <alignment horizontal="center" vertical="center"/>
    </xf>
    <xf numFmtId="20" fontId="0" fillId="3" borderId="29" xfId="0" applyNumberFormat="1" applyFill="1" applyBorder="1" applyAlignment="1">
      <alignment horizontal="center" vertical="center"/>
    </xf>
    <xf numFmtId="0" fontId="33" fillId="3" borderId="30" xfId="0" applyNumberFormat="1" applyFont="1" applyFill="1" applyBorder="1" applyAlignment="1">
      <alignment horizontal="center" vertical="center"/>
    </xf>
    <xf numFmtId="0" fontId="33" fillId="3" borderId="3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/>
    </xf>
    <xf numFmtId="20" fontId="0" fillId="3" borderId="58" xfId="0" applyNumberFormat="1" applyFill="1" applyBorder="1" applyAlignment="1">
      <alignment horizontal="center"/>
    </xf>
    <xf numFmtId="0" fontId="0" fillId="3" borderId="30" xfId="0" applyNumberFormat="1" applyFont="1" applyFill="1" applyBorder="1" applyAlignment="1">
      <alignment horizontal="center" vertical="center"/>
    </xf>
    <xf numFmtId="0" fontId="33" fillId="5" borderId="29" xfId="0" applyFont="1" applyFill="1" applyBorder="1" applyAlignment="1">
      <alignment horizontal="center"/>
    </xf>
    <xf numFmtId="0" fontId="33" fillId="3" borderId="30" xfId="0" applyFont="1" applyFill="1" applyBorder="1" applyAlignment="1">
      <alignment horizontal="center"/>
    </xf>
    <xf numFmtId="0" fontId="6" fillId="0" borderId="0" xfId="0" applyFont="1" applyAlignment="1">
      <alignment vertical="center" wrapText="1"/>
    </xf>
    <xf numFmtId="0" fontId="5" fillId="6" borderId="0" xfId="0" applyFont="1" applyFill="1" applyBorder="1"/>
    <xf numFmtId="2" fontId="2" fillId="0" borderId="52" xfId="0" applyNumberFormat="1" applyFont="1" applyBorder="1" applyAlignment="1">
      <alignment horizontal="center" vertical="center"/>
    </xf>
    <xf numFmtId="2" fontId="2" fillId="0" borderId="30" xfId="0" applyNumberFormat="1" applyFont="1" applyBorder="1" applyAlignment="1">
      <alignment horizontal="center" vertical="center"/>
    </xf>
    <xf numFmtId="0" fontId="25" fillId="0" borderId="27" xfId="0" applyNumberFormat="1" applyFont="1" applyFill="1" applyBorder="1" applyAlignment="1">
      <alignment vertical="center"/>
    </xf>
    <xf numFmtId="0" fontId="25" fillId="0" borderId="35" xfId="0" applyNumberFormat="1" applyFont="1" applyFill="1" applyBorder="1" applyAlignment="1">
      <alignment vertical="center"/>
    </xf>
    <xf numFmtId="0" fontId="25" fillId="0" borderId="34" xfId="0" applyNumberFormat="1" applyFont="1" applyFill="1" applyBorder="1" applyAlignment="1">
      <alignment vertical="center"/>
    </xf>
    <xf numFmtId="0" fontId="25" fillId="0" borderId="41" xfId="0" applyNumberFormat="1" applyFont="1" applyFill="1" applyBorder="1" applyAlignment="1">
      <alignment vertical="center"/>
    </xf>
    <xf numFmtId="0" fontId="26" fillId="0" borderId="27" xfId="0" applyNumberFormat="1" applyFont="1" applyFill="1" applyBorder="1" applyAlignment="1">
      <alignment vertical="center"/>
    </xf>
    <xf numFmtId="0" fontId="26" fillId="0" borderId="35" xfId="0" applyNumberFormat="1" applyFont="1" applyFill="1" applyBorder="1" applyAlignment="1">
      <alignment vertical="center"/>
    </xf>
    <xf numFmtId="0" fontId="26" fillId="0" borderId="36" xfId="0" applyNumberFormat="1" applyFont="1" applyFill="1" applyBorder="1" applyAlignment="1">
      <alignment vertical="center"/>
    </xf>
    <xf numFmtId="0" fontId="6" fillId="0" borderId="7" xfId="0" applyNumberFormat="1" applyFont="1" applyBorder="1" applyAlignment="1">
      <alignment vertical="center"/>
    </xf>
    <xf numFmtId="0" fontId="6" fillId="0" borderId="8" xfId="0" applyNumberFormat="1" applyFont="1" applyBorder="1" applyAlignment="1">
      <alignment vertical="center"/>
    </xf>
    <xf numFmtId="0" fontId="6" fillId="0" borderId="9" xfId="0" applyNumberFormat="1" applyFont="1" applyBorder="1" applyAlignment="1">
      <alignment vertical="center"/>
    </xf>
    <xf numFmtId="0" fontId="0" fillId="0" borderId="51" xfId="0" applyBorder="1" applyAlignment="1">
      <alignment horizontal="center" vertical="center"/>
    </xf>
    <xf numFmtId="0" fontId="0" fillId="0" borderId="52" xfId="0" applyBorder="1" applyAlignment="1">
      <alignment vertical="center"/>
    </xf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vertical="center"/>
    </xf>
    <xf numFmtId="0" fontId="0" fillId="0" borderId="61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0" fillId="0" borderId="62" xfId="0" applyBorder="1" applyAlignment="1">
      <alignment vertical="center"/>
    </xf>
    <xf numFmtId="0" fontId="0" fillId="0" borderId="62" xfId="0" applyBorder="1" applyAlignment="1">
      <alignment horizontal="left" vertical="center"/>
    </xf>
    <xf numFmtId="0" fontId="0" fillId="0" borderId="63" xfId="0" applyBorder="1" applyAlignment="1">
      <alignment vertical="center"/>
    </xf>
    <xf numFmtId="0" fontId="24" fillId="0" borderId="51" xfId="0" applyFont="1" applyFill="1" applyBorder="1" applyAlignment="1">
      <alignment horizontal="center" vertical="center"/>
    </xf>
    <xf numFmtId="0" fontId="24" fillId="0" borderId="29" xfId="0" applyFont="1" applyFill="1" applyBorder="1" applyAlignment="1">
      <alignment horizontal="center" vertical="center"/>
    </xf>
    <xf numFmtId="20" fontId="24" fillId="0" borderId="30" xfId="0" applyNumberFormat="1" applyFont="1" applyFill="1" applyBorder="1" applyAlignment="1">
      <alignment horizontal="center" vertical="center"/>
    </xf>
    <xf numFmtId="0" fontId="24" fillId="0" borderId="61" xfId="0" applyFont="1" applyFill="1" applyBorder="1" applyAlignment="1">
      <alignment horizontal="center" vertical="center"/>
    </xf>
    <xf numFmtId="0" fontId="24" fillId="0" borderId="62" xfId="0" applyFont="1" applyFill="1" applyBorder="1" applyAlignment="1">
      <alignment horizontal="center" vertical="center"/>
    </xf>
    <xf numFmtId="0" fontId="24" fillId="0" borderId="62" xfId="0" applyFont="1" applyFill="1" applyBorder="1" applyAlignment="1">
      <alignment vertical="center"/>
    </xf>
    <xf numFmtId="20" fontId="24" fillId="0" borderId="63" xfId="0" applyNumberFormat="1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 wrapText="1"/>
    </xf>
    <xf numFmtId="0" fontId="0" fillId="4" borderId="54" xfId="0" applyFill="1" applyBorder="1" applyAlignment="1">
      <alignment horizontal="center" vertical="center" wrapText="1"/>
    </xf>
    <xf numFmtId="0" fontId="0" fillId="4" borderId="55" xfId="0" applyFill="1" applyBorder="1" applyAlignment="1">
      <alignment horizontal="center" vertical="center" wrapText="1"/>
    </xf>
    <xf numFmtId="0" fontId="0" fillId="4" borderId="56" xfId="0" applyFill="1" applyBorder="1" applyAlignment="1">
      <alignment horizontal="center" vertical="center" wrapText="1"/>
    </xf>
    <xf numFmtId="0" fontId="5" fillId="6" borderId="46" xfId="0" applyFont="1" applyFill="1" applyBorder="1"/>
    <xf numFmtId="0" fontId="5" fillId="6" borderId="44" xfId="0" applyFont="1" applyFill="1" applyBorder="1" applyAlignment="1">
      <alignment horizontal="center"/>
    </xf>
    <xf numFmtId="0" fontId="5" fillId="6" borderId="46" xfId="0" applyFont="1" applyFill="1" applyBorder="1" applyAlignment="1">
      <alignment horizontal="center" vertical="center"/>
    </xf>
    <xf numFmtId="0" fontId="0" fillId="0" borderId="51" xfId="0" applyFont="1" applyBorder="1" applyAlignment="1">
      <alignment horizontal="center" vertical="top"/>
    </xf>
    <xf numFmtId="0" fontId="0" fillId="0" borderId="40" xfId="0" applyFont="1" applyBorder="1" applyAlignment="1">
      <alignment horizontal="center"/>
    </xf>
    <xf numFmtId="0" fontId="0" fillId="0" borderId="52" xfId="0" applyFont="1" applyBorder="1" applyAlignment="1">
      <alignment horizontal="center"/>
    </xf>
    <xf numFmtId="0" fontId="0" fillId="0" borderId="29" xfId="0" applyFont="1" applyBorder="1" applyAlignment="1">
      <alignment horizontal="center" vertical="top"/>
    </xf>
    <xf numFmtId="0" fontId="0" fillId="0" borderId="31" xfId="0" applyFont="1" applyBorder="1" applyAlignment="1">
      <alignment horizontal="center"/>
    </xf>
    <xf numFmtId="0" fontId="0" fillId="0" borderId="54" xfId="0" applyFont="1" applyBorder="1" applyAlignment="1">
      <alignment horizontal="center" vertical="top"/>
    </xf>
    <xf numFmtId="0" fontId="0" fillId="0" borderId="55" xfId="0" applyFont="1" applyBorder="1" applyAlignment="1">
      <alignment horizontal="center" vertical="center"/>
    </xf>
    <xf numFmtId="0" fontId="0" fillId="0" borderId="56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2" fontId="0" fillId="0" borderId="29" xfId="0" applyNumberFormat="1" applyFont="1" applyBorder="1" applyAlignment="1">
      <alignment horizontal="center" vertical="top"/>
    </xf>
    <xf numFmtId="0" fontId="5" fillId="6" borderId="1" xfId="0" applyNumberFormat="1" applyFont="1" applyFill="1" applyBorder="1" applyAlignment="1">
      <alignment vertical="center"/>
    </xf>
    <xf numFmtId="0" fontId="6" fillId="0" borderId="0" xfId="0" applyFont="1"/>
    <xf numFmtId="2" fontId="0" fillId="0" borderId="31" xfId="0" applyNumberFormat="1" applyFill="1" applyBorder="1" applyAlignment="1">
      <alignment horizontal="center"/>
    </xf>
    <xf numFmtId="20" fontId="0" fillId="0" borderId="31" xfId="0" applyNumberFormat="1" applyFill="1" applyBorder="1" applyAlignment="1">
      <alignment horizontal="center"/>
    </xf>
    <xf numFmtId="1" fontId="33" fillId="3" borderId="3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/>
    </xf>
    <xf numFmtId="0" fontId="4" fillId="0" borderId="0" xfId="0" applyFont="1" applyBorder="1" applyAlignment="1">
      <alignment horizontal="center" vertical="center"/>
    </xf>
    <xf numFmtId="49" fontId="8" fillId="0" borderId="0" xfId="0" applyNumberFormat="1" applyFont="1" applyFill="1" applyBorder="1" applyAlignment="1">
      <alignment vertical="center"/>
    </xf>
    <xf numFmtId="0" fontId="36" fillId="0" borderId="0" xfId="0" applyFont="1" applyFill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49" fontId="15" fillId="0" borderId="8" xfId="0" applyNumberFormat="1" applyFont="1" applyFill="1" applyBorder="1" applyAlignment="1">
      <alignment horizontal="center" vertical="center"/>
    </xf>
    <xf numFmtId="49" fontId="15" fillId="0" borderId="8" xfId="0" applyNumberFormat="1" applyFont="1" applyFill="1" applyBorder="1" applyAlignment="1">
      <alignment vertical="center"/>
    </xf>
    <xf numFmtId="49" fontId="15" fillId="0" borderId="2" xfId="0" applyNumberFormat="1" applyFont="1" applyFill="1" applyBorder="1" applyAlignment="1">
      <alignment vertical="center"/>
    </xf>
    <xf numFmtId="49" fontId="15" fillId="0" borderId="3" xfId="0" applyNumberFormat="1" applyFont="1" applyFill="1" applyBorder="1" applyAlignment="1">
      <alignment vertical="center"/>
    </xf>
    <xf numFmtId="49" fontId="15" fillId="0" borderId="7" xfId="0" applyNumberFormat="1" applyFont="1" applyFill="1" applyBorder="1" applyAlignment="1">
      <alignment vertical="center"/>
    </xf>
    <xf numFmtId="49" fontId="15" fillId="0" borderId="3" xfId="0" applyNumberFormat="1" applyFont="1" applyFill="1" applyBorder="1" applyAlignment="1">
      <alignment horizontal="center" vertical="center"/>
    </xf>
    <xf numFmtId="49" fontId="15" fillId="0" borderId="4" xfId="0" applyNumberFormat="1" applyFont="1" applyFill="1" applyBorder="1" applyAlignment="1">
      <alignment horizontal="center" vertical="center"/>
    </xf>
    <xf numFmtId="49" fontId="15" fillId="0" borderId="9" xfId="0" applyNumberFormat="1" applyFont="1" applyFill="1" applyBorder="1" applyAlignment="1">
      <alignment horizontal="center" vertical="center"/>
    </xf>
    <xf numFmtId="49" fontId="37" fillId="0" borderId="6" xfId="0" applyNumberFormat="1" applyFont="1" applyFill="1" applyBorder="1" applyAlignment="1">
      <alignment vertical="center"/>
    </xf>
    <xf numFmtId="0" fontId="36" fillId="0" borderId="6" xfId="0" applyFont="1" applyFill="1" applyBorder="1" applyAlignment="1">
      <alignment vertical="center"/>
    </xf>
    <xf numFmtId="0" fontId="36" fillId="0" borderId="6" xfId="0" applyNumberFormat="1" applyFont="1" applyFill="1" applyBorder="1" applyAlignment="1">
      <alignment vertical="center"/>
    </xf>
    <xf numFmtId="49" fontId="37" fillId="0" borderId="0" xfId="0" applyNumberFormat="1" applyFont="1" applyFill="1" applyBorder="1" applyAlignment="1">
      <alignment vertical="center"/>
    </xf>
    <xf numFmtId="49" fontId="37" fillId="8" borderId="0" xfId="0" applyNumberFormat="1" applyFont="1" applyFill="1" applyBorder="1" applyAlignment="1">
      <alignment vertical="center"/>
    </xf>
    <xf numFmtId="0" fontId="15" fillId="0" borderId="3" xfId="0" applyNumberFormat="1" applyFont="1" applyFill="1" applyBorder="1" applyAlignment="1">
      <alignment horizontal="center" vertical="center"/>
    </xf>
    <xf numFmtId="0" fontId="15" fillId="0" borderId="8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vertical="center"/>
    </xf>
    <xf numFmtId="0" fontId="18" fillId="8" borderId="20" xfId="0" applyFont="1" applyFill="1" applyBorder="1" applyAlignment="1">
      <alignment vertical="center"/>
    </xf>
    <xf numFmtId="164" fontId="39" fillId="0" borderId="0" xfId="0" applyNumberFormat="1" applyFont="1" applyBorder="1" applyAlignment="1">
      <alignment horizontal="center" vertical="center"/>
    </xf>
    <xf numFmtId="0" fontId="40" fillId="2" borderId="64" xfId="0" applyFont="1" applyFill="1" applyBorder="1" applyAlignment="1">
      <alignment horizontal="left" vertical="top"/>
    </xf>
    <xf numFmtId="0" fontId="40" fillId="2" borderId="40" xfId="0" applyFont="1" applyFill="1" applyBorder="1" applyAlignment="1">
      <alignment horizontal="left" vertical="top"/>
    </xf>
    <xf numFmtId="0" fontId="40" fillId="2" borderId="57" xfId="0" applyFont="1" applyFill="1" applyBorder="1" applyAlignment="1">
      <alignment horizontal="left" vertical="top"/>
    </xf>
    <xf numFmtId="0" fontId="40" fillId="2" borderId="65" xfId="0" applyFont="1" applyFill="1" applyBorder="1" applyAlignment="1">
      <alignment horizontal="left" vertical="top"/>
    </xf>
    <xf numFmtId="0" fontId="40" fillId="2" borderId="55" xfId="0" applyFont="1" applyFill="1" applyBorder="1" applyAlignment="1">
      <alignment horizontal="left" vertical="top"/>
    </xf>
    <xf numFmtId="0" fontId="40" fillId="2" borderId="66" xfId="0" applyFont="1" applyFill="1" applyBorder="1" applyAlignment="1">
      <alignment horizontal="left" vertical="top"/>
    </xf>
    <xf numFmtId="0" fontId="0" fillId="0" borderId="0" xfId="0" applyFont="1" applyFill="1"/>
    <xf numFmtId="0" fontId="34" fillId="0" borderId="0" xfId="0" applyFont="1" applyFill="1" applyAlignment="1">
      <alignment vertical="center"/>
    </xf>
    <xf numFmtId="0" fontId="0" fillId="0" borderId="31" xfId="0" applyFill="1" applyBorder="1" applyAlignment="1">
      <alignment horizontal="center"/>
    </xf>
    <xf numFmtId="0" fontId="0" fillId="0" borderId="29" xfId="0" applyFill="1" applyBorder="1" applyAlignment="1">
      <alignment horizontal="center"/>
    </xf>
    <xf numFmtId="0" fontId="24" fillId="0" borderId="29" xfId="0" applyFont="1" applyFill="1" applyBorder="1"/>
    <xf numFmtId="0" fontId="24" fillId="0" borderId="31" xfId="0" applyFont="1" applyFill="1" applyBorder="1"/>
    <xf numFmtId="0" fontId="24" fillId="0" borderId="31" xfId="0" applyFont="1" applyFill="1" applyBorder="1" applyAlignment="1">
      <alignment horizontal="center"/>
    </xf>
    <xf numFmtId="0" fontId="4" fillId="0" borderId="0" xfId="0" applyFont="1" applyBorder="1" applyAlignment="1">
      <alignment horizontal="center" vertical="center"/>
    </xf>
    <xf numFmtId="49" fontId="15" fillId="0" borderId="3" xfId="0" applyNumberFormat="1" applyFont="1" applyFill="1" applyBorder="1" applyAlignment="1">
      <alignment horizontal="center" vertical="center"/>
    </xf>
    <xf numFmtId="49" fontId="15" fillId="0" borderId="4" xfId="0" applyNumberFormat="1" applyFont="1" applyFill="1" applyBorder="1" applyAlignment="1">
      <alignment horizontal="center" vertical="center"/>
    </xf>
    <xf numFmtId="49" fontId="15" fillId="0" borderId="8" xfId="0" applyNumberFormat="1" applyFont="1" applyFill="1" applyBorder="1" applyAlignment="1">
      <alignment horizontal="center" vertical="center"/>
    </xf>
    <xf numFmtId="49" fontId="15" fillId="0" borderId="9" xfId="0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49" fontId="15" fillId="0" borderId="3" xfId="0" applyNumberFormat="1" applyFont="1" applyFill="1" applyBorder="1" applyAlignment="1">
      <alignment horizontal="center" vertical="center"/>
    </xf>
    <xf numFmtId="49" fontId="15" fillId="0" borderId="4" xfId="0" applyNumberFormat="1" applyFont="1" applyFill="1" applyBorder="1" applyAlignment="1">
      <alignment horizontal="center" vertical="center"/>
    </xf>
    <xf numFmtId="49" fontId="15" fillId="0" borderId="8" xfId="0" applyNumberFormat="1" applyFont="1" applyFill="1" applyBorder="1" applyAlignment="1">
      <alignment horizontal="center" vertical="center"/>
    </xf>
    <xf numFmtId="49" fontId="15" fillId="0" borderId="9" xfId="0" applyNumberFormat="1" applyFont="1" applyFill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5" fillId="6" borderId="0" xfId="0" applyFont="1" applyFill="1" applyBorder="1"/>
    <xf numFmtId="0" fontId="4" fillId="0" borderId="0" xfId="0" applyFont="1" applyBorder="1" applyAlignment="1">
      <alignment horizontal="center" vertical="center"/>
    </xf>
    <xf numFmtId="0" fontId="5" fillId="7" borderId="16" xfId="0" applyNumberFormat="1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center" vertical="center"/>
    </xf>
    <xf numFmtId="49" fontId="15" fillId="0" borderId="3" xfId="0" applyNumberFormat="1" applyFont="1" applyFill="1" applyBorder="1" applyAlignment="1">
      <alignment horizontal="center" vertical="center"/>
    </xf>
    <xf numFmtId="49" fontId="15" fillId="0" borderId="4" xfId="0" applyNumberFormat="1" applyFont="1" applyFill="1" applyBorder="1" applyAlignment="1">
      <alignment horizontal="center" vertical="center"/>
    </xf>
    <xf numFmtId="49" fontId="15" fillId="0" borderId="8" xfId="0" applyNumberFormat="1" applyFont="1" applyFill="1" applyBorder="1" applyAlignment="1">
      <alignment horizontal="center" vertical="center"/>
    </xf>
    <xf numFmtId="49" fontId="15" fillId="0" borderId="9" xfId="0" applyNumberFormat="1" applyFont="1" applyFill="1" applyBorder="1" applyAlignment="1">
      <alignment horizontal="center" vertical="center"/>
    </xf>
    <xf numFmtId="0" fontId="12" fillId="6" borderId="70" xfId="0" applyFont="1" applyFill="1" applyBorder="1" applyAlignment="1">
      <alignment vertical="center"/>
    </xf>
    <xf numFmtId="0" fontId="12" fillId="6" borderId="71" xfId="0" applyFont="1" applyFill="1" applyBorder="1" applyAlignment="1">
      <alignment horizontal="center" vertical="center"/>
    </xf>
    <xf numFmtId="0" fontId="12" fillId="6" borderId="72" xfId="0" applyFont="1" applyFill="1" applyBorder="1" applyAlignment="1">
      <alignment vertical="center"/>
    </xf>
    <xf numFmtId="2" fontId="0" fillId="3" borderId="23" xfId="0" applyNumberFormat="1" applyFill="1" applyBorder="1" applyAlignment="1">
      <alignment horizontal="center" vertical="center"/>
    </xf>
    <xf numFmtId="2" fontId="0" fillId="3" borderId="27" xfId="0" applyNumberFormat="1" applyFill="1" applyBorder="1" applyAlignment="1">
      <alignment horizontal="center" vertical="center"/>
    </xf>
    <xf numFmtId="1" fontId="0" fillId="3" borderId="27" xfId="0" applyNumberFormat="1" applyFill="1" applyBorder="1" applyAlignment="1">
      <alignment horizontal="center" vertical="center"/>
    </xf>
    <xf numFmtId="20" fontId="0" fillId="3" borderId="35" xfId="0" applyNumberFormat="1" applyFill="1" applyBorder="1" applyAlignment="1">
      <alignment horizontal="center" vertical="center"/>
    </xf>
    <xf numFmtId="2" fontId="0" fillId="0" borderId="28" xfId="0" applyNumberFormat="1" applyFill="1" applyBorder="1" applyAlignment="1">
      <alignment horizontal="center" vertical="center"/>
    </xf>
    <xf numFmtId="2" fontId="0" fillId="3" borderId="32" xfId="0" applyNumberFormat="1" applyFill="1" applyBorder="1" applyAlignment="1">
      <alignment horizontal="center" vertical="center"/>
    </xf>
    <xf numFmtId="0" fontId="0" fillId="0" borderId="32" xfId="0" applyNumberFormat="1" applyFill="1" applyBorder="1" applyAlignment="1">
      <alignment horizontal="center" vertical="center"/>
    </xf>
    <xf numFmtId="1" fontId="0" fillId="3" borderId="32" xfId="0" applyNumberFormat="1" applyFill="1" applyBorder="1" applyAlignment="1">
      <alignment horizontal="center" vertical="center"/>
    </xf>
    <xf numFmtId="20" fontId="0" fillId="3" borderId="36" xfId="0" applyNumberFormat="1" applyFill="1" applyBorder="1" applyAlignment="1">
      <alignment horizontal="center" vertical="center"/>
    </xf>
    <xf numFmtId="2" fontId="0" fillId="3" borderId="73" xfId="0" applyNumberFormat="1" applyFill="1" applyBorder="1" applyAlignment="1">
      <alignment horizontal="center" vertical="center"/>
    </xf>
    <xf numFmtId="2" fontId="0" fillId="3" borderId="74" xfId="0" applyNumberFormat="1" applyFill="1" applyBorder="1" applyAlignment="1">
      <alignment horizontal="center" vertical="center"/>
    </xf>
    <xf numFmtId="0" fontId="0" fillId="3" borderId="33" xfId="0" applyFill="1" applyBorder="1" applyAlignment="1">
      <alignment horizontal="center" vertical="center"/>
    </xf>
    <xf numFmtId="0" fontId="0" fillId="3" borderId="34" xfId="0" applyFill="1" applyBorder="1" applyAlignment="1">
      <alignment horizontal="center" vertical="center"/>
    </xf>
    <xf numFmtId="0" fontId="0" fillId="3" borderId="41" xfId="0" applyFill="1" applyBorder="1" applyAlignment="1">
      <alignment horizontal="center" vertical="center"/>
    </xf>
    <xf numFmtId="1" fontId="0" fillId="3" borderId="23" xfId="0" applyNumberFormat="1" applyFill="1" applyBorder="1" applyAlignment="1">
      <alignment horizontal="center" vertical="center"/>
    </xf>
    <xf numFmtId="1" fontId="0" fillId="0" borderId="28" xfId="0" applyNumberFormat="1" applyFill="1" applyBorder="1" applyAlignment="1">
      <alignment horizontal="center" vertical="center"/>
    </xf>
    <xf numFmtId="20" fontId="0" fillId="5" borderId="23" xfId="0" applyNumberFormat="1" applyFill="1" applyBorder="1" applyAlignment="1">
      <alignment horizontal="center" vertical="center"/>
    </xf>
    <xf numFmtId="20" fontId="0" fillId="3" borderId="27" xfId="0" applyNumberFormat="1" applyFill="1" applyBorder="1" applyAlignment="1">
      <alignment horizontal="center" vertical="center"/>
    </xf>
    <xf numFmtId="20" fontId="0" fillId="5" borderId="35" xfId="0" applyNumberFormat="1" applyFill="1" applyBorder="1" applyAlignment="1">
      <alignment horizontal="center" vertical="center"/>
    </xf>
    <xf numFmtId="20" fontId="0" fillId="5" borderId="28" xfId="0" applyNumberFormat="1" applyFill="1" applyBorder="1" applyAlignment="1">
      <alignment horizontal="center" vertical="center"/>
    </xf>
    <xf numFmtId="20" fontId="0" fillId="3" borderId="32" xfId="0" applyNumberFormat="1" applyFill="1" applyBorder="1" applyAlignment="1">
      <alignment horizontal="center" vertical="center"/>
    </xf>
    <xf numFmtId="20" fontId="0" fillId="5" borderId="36" xfId="0" applyNumberFormat="1" applyFill="1" applyBorder="1" applyAlignment="1">
      <alignment horizontal="center" vertical="center"/>
    </xf>
    <xf numFmtId="20" fontId="0" fillId="3" borderId="28" xfId="0" applyNumberFormat="1" applyFill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4" borderId="75" xfId="0" applyFill="1" applyBorder="1" applyAlignment="1">
      <alignment horizontal="center" vertical="center" wrapText="1"/>
    </xf>
    <xf numFmtId="0" fontId="0" fillId="3" borderId="37" xfId="0" applyFill="1" applyBorder="1" applyAlignment="1">
      <alignment vertical="center"/>
    </xf>
    <xf numFmtId="0" fontId="0" fillId="0" borderId="37" xfId="0" applyFill="1" applyBorder="1" applyAlignment="1">
      <alignment vertical="center"/>
    </xf>
    <xf numFmtId="0" fontId="0" fillId="3" borderId="37" xfId="0" quotePrefix="1" applyFill="1" applyBorder="1" applyAlignment="1">
      <alignment vertical="center"/>
    </xf>
    <xf numFmtId="0" fontId="22" fillId="3" borderId="22" xfId="0" applyFont="1" applyFill="1" applyBorder="1" applyAlignment="1">
      <alignment vertical="center"/>
    </xf>
    <xf numFmtId="0" fontId="22" fillId="0" borderId="0" xfId="0" applyFont="1" applyAlignment="1">
      <alignment horizontal="center" vertical="center" wrapText="1"/>
    </xf>
    <xf numFmtId="0" fontId="5" fillId="6" borderId="16" xfId="0" applyNumberFormat="1" applyFont="1" applyFill="1" applyBorder="1" applyAlignment="1">
      <alignment horizontal="left" vertical="center"/>
    </xf>
    <xf numFmtId="0" fontId="41" fillId="0" borderId="1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 wrapText="1"/>
    </xf>
    <xf numFmtId="2" fontId="22" fillId="3" borderId="34" xfId="0" applyNumberFormat="1" applyFont="1" applyFill="1" applyBorder="1" applyAlignment="1">
      <alignment horizontal="center" vertical="center"/>
    </xf>
    <xf numFmtId="1" fontId="22" fillId="3" borderId="34" xfId="0" applyNumberFormat="1" applyFont="1" applyFill="1" applyBorder="1" applyAlignment="1">
      <alignment horizontal="center" vertical="center"/>
    </xf>
    <xf numFmtId="20" fontId="0" fillId="3" borderId="76" xfId="0" applyNumberFormat="1" applyFill="1" applyBorder="1" applyAlignment="1">
      <alignment horizontal="center"/>
    </xf>
    <xf numFmtId="0" fontId="0" fillId="0" borderId="1" xfId="0" applyFont="1" applyFill="1" applyBorder="1" applyAlignment="1">
      <alignment vertical="center"/>
    </xf>
    <xf numFmtId="0" fontId="0" fillId="0" borderId="22" xfId="0" applyFont="1" applyBorder="1" applyAlignment="1">
      <alignment horizontal="center" vertical="center"/>
    </xf>
    <xf numFmtId="2" fontId="24" fillId="0" borderId="22" xfId="0" applyNumberFormat="1" applyFont="1" applyFill="1" applyBorder="1" applyAlignment="1">
      <alignment horizontal="center" vertical="center"/>
    </xf>
    <xf numFmtId="2" fontId="24" fillId="0" borderId="22" xfId="0" applyNumberFormat="1" applyFont="1" applyBorder="1" applyAlignment="1">
      <alignment horizontal="center" vertical="center"/>
    </xf>
    <xf numFmtId="2" fontId="24" fillId="0" borderId="3" xfId="0" applyNumberFormat="1" applyFont="1" applyFill="1" applyBorder="1" applyAlignment="1">
      <alignment horizontal="center" vertical="center"/>
    </xf>
    <xf numFmtId="2" fontId="24" fillId="0" borderId="3" xfId="0" applyNumberFormat="1" applyFont="1" applyBorder="1" applyAlignment="1">
      <alignment horizontal="center" vertical="center"/>
    </xf>
    <xf numFmtId="2" fontId="24" fillId="0" borderId="0" xfId="0" applyNumberFormat="1" applyFont="1" applyFill="1" applyBorder="1" applyAlignment="1">
      <alignment horizontal="center" vertical="center"/>
    </xf>
    <xf numFmtId="2" fontId="24" fillId="0" borderId="0" xfId="0" applyNumberFormat="1" applyFont="1" applyBorder="1" applyAlignment="1">
      <alignment horizontal="center" vertical="center"/>
    </xf>
    <xf numFmtId="0" fontId="30" fillId="0" borderId="1" xfId="0" applyNumberFormat="1" applyFont="1" applyBorder="1" applyAlignment="1">
      <alignment horizontal="left" vertical="top"/>
    </xf>
    <xf numFmtId="0" fontId="43" fillId="0" borderId="1" xfId="0" applyNumberFormat="1" applyFont="1" applyFill="1" applyBorder="1" applyAlignment="1">
      <alignment horizontal="left" vertical="top"/>
    </xf>
    <xf numFmtId="0" fontId="43" fillId="0" borderId="1" xfId="0" applyNumberFormat="1" applyFont="1" applyBorder="1" applyAlignment="1">
      <alignment horizontal="left" vertical="top"/>
    </xf>
    <xf numFmtId="0" fontId="30" fillId="0" borderId="1" xfId="0" applyNumberFormat="1" applyFont="1" applyBorder="1" applyAlignment="1">
      <alignment horizontal="left" vertical="top" wrapText="1"/>
    </xf>
    <xf numFmtId="0" fontId="43" fillId="0" borderId="1" xfId="0" applyNumberFormat="1" applyFont="1" applyFill="1" applyBorder="1" applyAlignment="1">
      <alignment horizontal="left" vertical="top" wrapText="1"/>
    </xf>
    <xf numFmtId="0" fontId="0" fillId="0" borderId="1" xfId="0" applyFont="1" applyFill="1" applyBorder="1" applyAlignment="1">
      <alignment horizontal="center" vertical="center"/>
    </xf>
    <xf numFmtId="2" fontId="0" fillId="5" borderId="28" xfId="0" applyNumberFormat="1" applyFill="1" applyBorder="1" applyAlignment="1">
      <alignment horizontal="center" vertical="center"/>
    </xf>
    <xf numFmtId="2" fontId="2" fillId="0" borderId="29" xfId="0" applyNumberFormat="1" applyFont="1" applyFill="1" applyBorder="1" applyAlignment="1">
      <alignment horizontal="center" vertical="center"/>
    </xf>
    <xf numFmtId="0" fontId="2" fillId="0" borderId="31" xfId="0" applyNumberFormat="1" applyFont="1" applyFill="1" applyBorder="1" applyAlignment="1">
      <alignment horizontal="center" vertical="center"/>
    </xf>
    <xf numFmtId="0" fontId="0" fillId="0" borderId="1" xfId="0" applyBorder="1"/>
    <xf numFmtId="0" fontId="30" fillId="0" borderId="1" xfId="0" applyNumberFormat="1" applyFont="1" applyFill="1" applyBorder="1" applyAlignment="1">
      <alignment horizontal="left" vertical="top"/>
    </xf>
    <xf numFmtId="2" fontId="0" fillId="0" borderId="51" xfId="0" applyNumberFormat="1" applyFont="1" applyBorder="1" applyAlignment="1">
      <alignment horizontal="center" vertical="top"/>
    </xf>
    <xf numFmtId="0" fontId="44" fillId="0" borderId="1" xfId="0" applyFont="1" applyFill="1" applyBorder="1" applyAlignment="1">
      <alignment horizontal="left" vertical="center"/>
    </xf>
    <xf numFmtId="0" fontId="6" fillId="0" borderId="29" xfId="0" applyFont="1" applyFill="1" applyBorder="1" applyAlignment="1">
      <alignment horizontal="center" vertical="center" wrapText="1"/>
    </xf>
    <xf numFmtId="0" fontId="6" fillId="0" borderId="31" xfId="0" applyFont="1" applyFill="1" applyBorder="1" applyAlignment="1">
      <alignment horizontal="center" vertical="center" wrapText="1"/>
    </xf>
    <xf numFmtId="0" fontId="35" fillId="0" borderId="30" xfId="0" applyFont="1" applyFill="1" applyBorder="1" applyAlignment="1">
      <alignment horizontal="center" vertical="center" wrapText="1"/>
    </xf>
    <xf numFmtId="0" fontId="35" fillId="0" borderId="29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 vertical="center" wrapText="1"/>
    </xf>
    <xf numFmtId="0" fontId="28" fillId="0" borderId="30" xfId="0" applyFont="1" applyFill="1" applyBorder="1" applyAlignment="1">
      <alignment horizontal="center" vertical="center" wrapText="1"/>
    </xf>
    <xf numFmtId="0" fontId="16" fillId="0" borderId="29" xfId="0" applyFont="1" applyFill="1" applyBorder="1" applyAlignment="1">
      <alignment horizontal="center" vertical="center" wrapText="1"/>
    </xf>
    <xf numFmtId="0" fontId="16" fillId="0" borderId="31" xfId="0" applyFont="1" applyFill="1" applyBorder="1" applyAlignment="1">
      <alignment horizontal="center" vertical="center" wrapText="1"/>
    </xf>
    <xf numFmtId="2" fontId="0" fillId="0" borderId="29" xfId="0" applyNumberFormat="1" applyFont="1" applyFill="1" applyBorder="1" applyAlignment="1">
      <alignment horizontal="center" vertical="top"/>
    </xf>
    <xf numFmtId="0" fontId="0" fillId="0" borderId="28" xfId="0" applyFill="1" applyBorder="1" applyAlignment="1">
      <alignment horizontal="center" vertical="center"/>
    </xf>
    <xf numFmtId="0" fontId="0" fillId="3" borderId="77" xfId="0" applyNumberFormat="1" applyFill="1" applyBorder="1" applyAlignment="1">
      <alignment horizontal="center"/>
    </xf>
    <xf numFmtId="0" fontId="0" fillId="5" borderId="77" xfId="0" applyNumberFormat="1" applyFill="1" applyBorder="1" applyAlignment="1">
      <alignment horizontal="center" vertical="center"/>
    </xf>
    <xf numFmtId="166" fontId="0" fillId="3" borderId="77" xfId="0" applyNumberFormat="1" applyFill="1" applyBorder="1" applyAlignment="1">
      <alignment horizontal="center" vertical="center"/>
    </xf>
    <xf numFmtId="2" fontId="46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Fill="1" applyBorder="1"/>
    <xf numFmtId="0" fontId="6" fillId="0" borderId="23" xfId="0" applyFont="1" applyFill="1" applyBorder="1" applyAlignment="1">
      <alignment horizontal="center" vertical="center" wrapText="1"/>
    </xf>
    <xf numFmtId="0" fontId="1" fillId="0" borderId="49" xfId="0" applyFont="1" applyFill="1" applyBorder="1" applyAlignment="1">
      <alignment horizontal="center" vertical="center" wrapText="1"/>
    </xf>
    <xf numFmtId="0" fontId="48" fillId="0" borderId="49" xfId="0" applyFont="1" applyFill="1" applyBorder="1" applyAlignment="1">
      <alignment horizontal="center"/>
    </xf>
    <xf numFmtId="0" fontId="3" fillId="0" borderId="6" xfId="0" applyFont="1" applyFill="1" applyBorder="1" applyAlignment="1"/>
    <xf numFmtId="0" fontId="3" fillId="0" borderId="8" xfId="0" applyFont="1" applyFill="1" applyBorder="1" applyAlignment="1"/>
    <xf numFmtId="0" fontId="2" fillId="0" borderId="8" xfId="0" applyFont="1" applyFill="1" applyBorder="1" applyAlignment="1"/>
    <xf numFmtId="0" fontId="39" fillId="9" borderId="75" xfId="0" applyFont="1" applyFill="1" applyBorder="1" applyAlignment="1">
      <alignment horizontal="center" vertical="center" textRotation="90" wrapText="1"/>
    </xf>
    <xf numFmtId="0" fontId="4" fillId="0" borderId="0" xfId="0" applyFont="1" applyBorder="1" applyAlignment="1">
      <alignment horizontal="center" vertical="center"/>
    </xf>
    <xf numFmtId="49" fontId="15" fillId="0" borderId="3" xfId="0" applyNumberFormat="1" applyFont="1" applyFill="1" applyBorder="1" applyAlignment="1">
      <alignment horizontal="center" vertical="center"/>
    </xf>
    <xf numFmtId="49" fontId="15" fillId="0" borderId="4" xfId="0" applyNumberFormat="1" applyFont="1" applyFill="1" applyBorder="1" applyAlignment="1">
      <alignment horizontal="center" vertical="center"/>
    </xf>
    <xf numFmtId="49" fontId="15" fillId="0" borderId="8" xfId="0" applyNumberFormat="1" applyFont="1" applyFill="1" applyBorder="1" applyAlignment="1">
      <alignment horizontal="center" vertical="center"/>
    </xf>
    <xf numFmtId="49" fontId="15" fillId="0" borderId="9" xfId="0" applyNumberFormat="1" applyFont="1" applyFill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49" fontId="0" fillId="0" borderId="31" xfId="0" applyNumberFormat="1" applyBorder="1"/>
    <xf numFmtId="49" fontId="0" fillId="0" borderId="30" xfId="0" applyNumberFormat="1" applyBorder="1"/>
    <xf numFmtId="49" fontId="0" fillId="0" borderId="31" xfId="0" applyNumberFormat="1" applyFill="1" applyBorder="1"/>
    <xf numFmtId="2" fontId="0" fillId="3" borderId="76" xfId="0" applyNumberFormat="1" applyFill="1" applyBorder="1" applyAlignment="1">
      <alignment horizontal="center" vertical="center"/>
    </xf>
    <xf numFmtId="0" fontId="0" fillId="3" borderId="62" xfId="0" applyFill="1" applyBorder="1" applyAlignment="1">
      <alignment horizontal="center" vertical="center"/>
    </xf>
    <xf numFmtId="49" fontId="0" fillId="0" borderId="62" xfId="0" applyNumberFormat="1" applyFill="1" applyBorder="1"/>
    <xf numFmtId="49" fontId="0" fillId="0" borderId="63" xfId="0" applyNumberFormat="1" applyFill="1" applyBorder="1"/>
    <xf numFmtId="0" fontId="0" fillId="0" borderId="50" xfId="0" applyBorder="1" applyAlignment="1">
      <alignment horizontal="center" vertical="center"/>
    </xf>
    <xf numFmtId="49" fontId="0" fillId="0" borderId="40" xfId="0" applyNumberFormat="1" applyBorder="1"/>
    <xf numFmtId="49" fontId="0" fillId="0" borderId="52" xfId="0" applyNumberFormat="1" applyBorder="1"/>
    <xf numFmtId="0" fontId="0" fillId="4" borderId="79" xfId="0" applyFill="1" applyBorder="1" applyAlignment="1">
      <alignment horizontal="center" vertical="center" wrapText="1"/>
    </xf>
    <xf numFmtId="0" fontId="0" fillId="4" borderId="62" xfId="0" applyFill="1" applyBorder="1" applyAlignment="1">
      <alignment horizontal="center" vertical="center" wrapText="1"/>
    </xf>
    <xf numFmtId="0" fontId="0" fillId="4" borderId="63" xfId="0" applyFill="1" applyBorder="1" applyAlignment="1">
      <alignment horizontal="center" vertical="center" wrapText="1"/>
    </xf>
    <xf numFmtId="49" fontId="0" fillId="0" borderId="30" xfId="0" applyNumberFormat="1" applyFill="1" applyBorder="1"/>
    <xf numFmtId="49" fontId="0" fillId="0" borderId="31" xfId="0" applyNumberFormat="1" applyFill="1" applyBorder="1" applyAlignment="1">
      <alignment wrapText="1"/>
    </xf>
    <xf numFmtId="0" fontId="22" fillId="0" borderId="0" xfId="0" applyFont="1" applyAlignment="1">
      <alignment wrapText="1"/>
    </xf>
    <xf numFmtId="0" fontId="0" fillId="0" borderId="1" xfId="0" applyBorder="1" applyAlignment="1">
      <alignment wrapText="1"/>
    </xf>
    <xf numFmtId="0" fontId="4" fillId="0" borderId="1" xfId="0" applyFont="1" applyBorder="1" applyAlignment="1">
      <alignment wrapText="1"/>
    </xf>
    <xf numFmtId="0" fontId="0" fillId="0" borderId="1" xfId="0" applyBorder="1" applyAlignment="1">
      <alignment vertical="center" wrapText="1"/>
    </xf>
    <xf numFmtId="0" fontId="4" fillId="0" borderId="0" xfId="0" applyFont="1" applyAlignment="1">
      <alignment wrapText="1"/>
    </xf>
    <xf numFmtId="0" fontId="0" fillId="0" borderId="80" xfId="0" applyBorder="1" applyAlignment="1">
      <alignment wrapText="1"/>
    </xf>
    <xf numFmtId="0" fontId="22" fillId="0" borderId="0" xfId="0" applyFont="1" applyAlignment="1">
      <alignment vertical="center"/>
    </xf>
    <xf numFmtId="2" fontId="0" fillId="0" borderId="3" xfId="0" applyNumberFormat="1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5" fillId="6" borderId="44" xfId="0" applyFont="1" applyFill="1" applyBorder="1" applyAlignment="1">
      <alignment horizontal="center" vertical="center" wrapText="1"/>
    </xf>
    <xf numFmtId="166" fontId="24" fillId="0" borderId="1" xfId="0" applyNumberFormat="1" applyFont="1" applyFill="1" applyBorder="1" applyAlignment="1">
      <alignment horizontal="center" vertical="center"/>
    </xf>
    <xf numFmtId="166" fontId="24" fillId="0" borderId="1" xfId="0" applyNumberFormat="1" applyFon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0" fillId="0" borderId="31" xfId="0" applyNumberFormat="1" applyBorder="1" applyAlignment="1">
      <alignment horizontal="center" vertical="center"/>
    </xf>
    <xf numFmtId="164" fontId="0" fillId="0" borderId="62" xfId="0" applyNumberFormat="1" applyBorder="1" applyAlignment="1">
      <alignment horizontal="center" vertical="center"/>
    </xf>
    <xf numFmtId="164" fontId="24" fillId="0" borderId="31" xfId="0" applyNumberFormat="1" applyFont="1" applyFill="1" applyBorder="1" applyAlignment="1">
      <alignment horizontal="center" vertical="center"/>
    </xf>
    <xf numFmtId="164" fontId="24" fillId="0" borderId="40" xfId="0" applyNumberFormat="1" applyFont="1" applyFill="1" applyBorder="1" applyAlignment="1">
      <alignment horizontal="center" vertical="center"/>
    </xf>
    <xf numFmtId="164" fontId="24" fillId="0" borderId="62" xfId="0" applyNumberFormat="1" applyFont="1" applyFill="1" applyBorder="1" applyAlignment="1">
      <alignment horizontal="center" vertical="center"/>
    </xf>
    <xf numFmtId="164" fontId="48" fillId="9" borderId="37" xfId="0" applyNumberFormat="1" applyFont="1" applyFill="1" applyBorder="1" applyAlignment="1">
      <alignment horizontal="center"/>
    </xf>
    <xf numFmtId="0" fontId="0" fillId="10" borderId="31" xfId="0" applyNumberFormat="1" applyFill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164" fontId="48" fillId="9" borderId="60" xfId="0" applyNumberFormat="1" applyFont="1" applyFill="1" applyBorder="1" applyAlignment="1">
      <alignment horizontal="center"/>
    </xf>
    <xf numFmtId="0" fontId="48" fillId="0" borderId="22" xfId="0" applyFont="1" applyFill="1" applyBorder="1" applyAlignment="1">
      <alignment horizontal="center"/>
    </xf>
    <xf numFmtId="0" fontId="24" fillId="0" borderId="61" xfId="0" applyFont="1" applyFill="1" applyBorder="1"/>
    <xf numFmtId="0" fontId="24" fillId="0" borderId="62" xfId="0" applyFont="1" applyFill="1" applyBorder="1"/>
    <xf numFmtId="0" fontId="24" fillId="0" borderId="62" xfId="0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20" fontId="0" fillId="0" borderId="1" xfId="0" applyNumberFormat="1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24" fillId="0" borderId="54" xfId="0" applyFont="1" applyFill="1" applyBorder="1"/>
    <xf numFmtId="0" fontId="24" fillId="0" borderId="55" xfId="0" applyFont="1" applyFill="1" applyBorder="1"/>
    <xf numFmtId="0" fontId="24" fillId="0" borderId="55" xfId="0" applyFont="1" applyFill="1" applyBorder="1" applyAlignment="1">
      <alignment horizontal="center"/>
    </xf>
    <xf numFmtId="21" fontId="0" fillId="11" borderId="31" xfId="0" applyNumberFormat="1" applyFill="1" applyBorder="1" applyAlignment="1">
      <alignment horizontal="center"/>
    </xf>
    <xf numFmtId="0" fontId="6" fillId="12" borderId="31" xfId="0" applyFont="1" applyFill="1" applyBorder="1" applyAlignment="1">
      <alignment horizontal="center" vertical="center" wrapText="1"/>
    </xf>
    <xf numFmtId="164" fontId="48" fillId="13" borderId="37" xfId="0" applyNumberFormat="1" applyFont="1" applyFill="1" applyBorder="1" applyAlignment="1">
      <alignment horizontal="center"/>
    </xf>
    <xf numFmtId="164" fontId="48" fillId="13" borderId="81" xfId="0" applyNumberFormat="1" applyFont="1" applyFill="1" applyBorder="1" applyAlignment="1">
      <alignment horizontal="center"/>
    </xf>
    <xf numFmtId="2" fontId="0" fillId="11" borderId="31" xfId="0" applyNumberFormat="1" applyFill="1" applyBorder="1" applyAlignment="1">
      <alignment horizontal="center"/>
    </xf>
    <xf numFmtId="166" fontId="0" fillId="11" borderId="77" xfId="0" applyNumberFormat="1" applyFill="1" applyBorder="1" applyAlignment="1">
      <alignment horizontal="center" vertical="center"/>
    </xf>
    <xf numFmtId="0" fontId="0" fillId="11" borderId="31" xfId="0" applyFill="1" applyBorder="1" applyAlignment="1">
      <alignment horizontal="center"/>
    </xf>
    <xf numFmtId="164" fontId="48" fillId="13" borderId="60" xfId="0" applyNumberFormat="1" applyFont="1" applyFill="1" applyBorder="1" applyAlignment="1">
      <alignment horizontal="center"/>
    </xf>
    <xf numFmtId="0" fontId="33" fillId="5" borderId="30" xfId="0" applyFont="1" applyFill="1" applyBorder="1" applyAlignment="1">
      <alignment horizontal="center" vertical="center"/>
    </xf>
    <xf numFmtId="21" fontId="0" fillId="0" borderId="0" xfId="0" applyNumberFormat="1"/>
    <xf numFmtId="0" fontId="24" fillId="5" borderId="31" xfId="0" applyFont="1" applyFill="1" applyBorder="1"/>
    <xf numFmtId="0" fontId="39" fillId="0" borderId="75" xfId="0" applyFont="1" applyFill="1" applyBorder="1" applyAlignment="1">
      <alignment horizontal="center" vertical="center" textRotation="90" wrapText="1"/>
    </xf>
    <xf numFmtId="0" fontId="6" fillId="0" borderId="0" xfId="0" applyFont="1" applyFill="1"/>
    <xf numFmtId="0" fontId="0" fillId="0" borderId="16" xfId="0" applyFont="1" applyBorder="1" applyAlignment="1">
      <alignment horizontal="center" vertical="center"/>
    </xf>
    <xf numFmtId="0" fontId="0" fillId="0" borderId="17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0" fillId="0" borderId="16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0" fillId="0" borderId="18" xfId="0" applyFont="1" applyFill="1" applyBorder="1" applyAlignment="1">
      <alignment horizontal="center" vertical="center"/>
    </xf>
    <xf numFmtId="0" fontId="49" fillId="6" borderId="1" xfId="0" applyNumberFormat="1" applyFont="1" applyFill="1" applyBorder="1" applyAlignment="1">
      <alignment horizontal="right" vertical="center"/>
    </xf>
    <xf numFmtId="166" fontId="21" fillId="6" borderId="1" xfId="0" applyNumberFormat="1" applyFont="1" applyFill="1" applyBorder="1" applyAlignment="1">
      <alignment horizontal="center" vertical="center"/>
    </xf>
    <xf numFmtId="0" fontId="21" fillId="6" borderId="1" xfId="0" applyNumberFormat="1" applyFont="1" applyFill="1" applyBorder="1" applyAlignment="1">
      <alignment horizontal="center" vertical="center"/>
    </xf>
    <xf numFmtId="0" fontId="39" fillId="0" borderId="16" xfId="0" applyFont="1" applyBorder="1" applyAlignment="1">
      <alignment horizontal="center" vertical="center"/>
    </xf>
    <xf numFmtId="0" fontId="39" fillId="0" borderId="17" xfId="0" applyFont="1" applyBorder="1" applyAlignment="1">
      <alignment horizontal="center" vertical="center"/>
    </xf>
    <xf numFmtId="0" fontId="39" fillId="0" borderId="18" xfId="0" applyFont="1" applyBorder="1" applyAlignment="1">
      <alignment horizontal="center" vertical="center"/>
    </xf>
    <xf numFmtId="0" fontId="0" fillId="4" borderId="24" xfId="0" applyFill="1" applyBorder="1" applyAlignment="1">
      <alignment horizontal="center" vertical="center"/>
    </xf>
    <xf numFmtId="0" fontId="0" fillId="4" borderId="26" xfId="0" applyFill="1" applyBorder="1" applyAlignment="1">
      <alignment horizontal="center" vertical="center"/>
    </xf>
    <xf numFmtId="0" fontId="0" fillId="4" borderId="25" xfId="0" applyFill="1" applyBorder="1" applyAlignment="1">
      <alignment horizontal="center" vertical="center"/>
    </xf>
    <xf numFmtId="0" fontId="0" fillId="4" borderId="24" xfId="0" applyFill="1" applyBorder="1" applyAlignment="1">
      <alignment horizontal="center" vertical="center" wrapText="1"/>
    </xf>
    <xf numFmtId="0" fontId="0" fillId="4" borderId="25" xfId="0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11" fillId="6" borderId="44" xfId="0" applyFont="1" applyFill="1" applyBorder="1" applyAlignment="1">
      <alignment vertical="center"/>
    </xf>
    <xf numFmtId="0" fontId="11" fillId="6" borderId="45" xfId="0" applyFont="1" applyFill="1" applyBorder="1" applyAlignment="1">
      <alignment vertical="center"/>
    </xf>
    <xf numFmtId="0" fontId="11" fillId="6" borderId="44" xfId="0" applyFont="1" applyFill="1" applyBorder="1" applyAlignment="1">
      <alignment horizontal="center" vertical="center" wrapText="1"/>
    </xf>
    <xf numFmtId="0" fontId="11" fillId="6" borderId="45" xfId="0" applyFont="1" applyFill="1" applyBorder="1" applyAlignment="1">
      <alignment horizontal="center" vertical="center" wrapText="1"/>
    </xf>
    <xf numFmtId="0" fontId="2" fillId="0" borderId="28" xfId="0" applyFont="1" applyBorder="1" applyAlignment="1">
      <alignment vertical="center" wrapText="1"/>
    </xf>
    <xf numFmtId="0" fontId="2" fillId="0" borderId="32" xfId="0" applyFont="1" applyBorder="1" applyAlignment="1">
      <alignment vertical="center" wrapText="1"/>
    </xf>
    <xf numFmtId="0" fontId="2" fillId="0" borderId="36" xfId="0" applyFont="1" applyBorder="1" applyAlignment="1">
      <alignment vertical="center" wrapText="1"/>
    </xf>
    <xf numFmtId="0" fontId="2" fillId="0" borderId="50" xfId="0" applyFont="1" applyBorder="1" applyAlignment="1">
      <alignment vertical="center" wrapText="1"/>
    </xf>
    <xf numFmtId="0" fontId="2" fillId="0" borderId="42" xfId="0" applyFont="1" applyBorder="1" applyAlignment="1">
      <alignment vertical="center" wrapText="1"/>
    </xf>
    <xf numFmtId="0" fontId="2" fillId="0" borderId="43" xfId="0" applyFont="1" applyBorder="1" applyAlignment="1">
      <alignment vertical="center" wrapText="1"/>
    </xf>
    <xf numFmtId="2" fontId="2" fillId="0" borderId="39" xfId="0" applyNumberFormat="1" applyFont="1" applyBorder="1" applyAlignment="1">
      <alignment horizontal="center" vertical="center"/>
    </xf>
    <xf numFmtId="2" fontId="2" fillId="0" borderId="36" xfId="0" applyNumberFormat="1" applyFont="1" applyBorder="1" applyAlignment="1">
      <alignment horizontal="center" vertical="center"/>
    </xf>
    <xf numFmtId="0" fontId="10" fillId="6" borderId="0" xfId="0" applyFont="1" applyFill="1" applyBorder="1" applyAlignment="1">
      <alignment horizontal="center" vertical="center"/>
    </xf>
    <xf numFmtId="0" fontId="11" fillId="6" borderId="40" xfId="0" applyFont="1" applyFill="1" applyBorder="1" applyAlignment="1">
      <alignment horizontal="center" vertical="center"/>
    </xf>
    <xf numFmtId="0" fontId="11" fillId="6" borderId="57" xfId="0" applyFont="1" applyFill="1" applyBorder="1" applyAlignment="1">
      <alignment horizontal="center" vertical="center"/>
    </xf>
    <xf numFmtId="0" fontId="2" fillId="0" borderId="39" xfId="0" applyNumberFormat="1" applyFont="1" applyFill="1" applyBorder="1" applyAlignment="1">
      <alignment horizontal="center" vertical="center"/>
    </xf>
    <xf numFmtId="0" fontId="2" fillId="0" borderId="36" xfId="0" applyNumberFormat="1" applyFont="1" applyFill="1" applyBorder="1" applyAlignment="1">
      <alignment horizontal="center" vertical="center"/>
    </xf>
    <xf numFmtId="0" fontId="2" fillId="0" borderId="23" xfId="0" applyFont="1" applyFill="1" applyBorder="1" applyAlignment="1">
      <alignment horizontal="left"/>
    </xf>
    <xf numFmtId="0" fontId="2" fillId="0" borderId="35" xfId="0" applyFont="1" applyFill="1" applyBorder="1" applyAlignment="1">
      <alignment horizontal="left"/>
    </xf>
    <xf numFmtId="0" fontId="2" fillId="0" borderId="24" xfId="0" quotePrefix="1" applyFont="1" applyFill="1" applyBorder="1" applyAlignment="1">
      <alignment horizontal="center"/>
    </xf>
    <xf numFmtId="0" fontId="2" fillId="0" borderId="25" xfId="0" quotePrefix="1" applyFont="1" applyFill="1" applyBorder="1" applyAlignment="1">
      <alignment horizontal="center"/>
    </xf>
    <xf numFmtId="0" fontId="2" fillId="0" borderId="24" xfId="0" applyFont="1" applyFill="1" applyBorder="1" applyAlignment="1">
      <alignment horizontal="center"/>
    </xf>
    <xf numFmtId="0" fontId="2" fillId="0" borderId="26" xfId="0" applyFont="1" applyFill="1" applyBorder="1" applyAlignment="1">
      <alignment horizontal="center"/>
    </xf>
    <xf numFmtId="0" fontId="2" fillId="0" borderId="25" xfId="0" applyFont="1" applyFill="1" applyBorder="1" applyAlignment="1">
      <alignment horizontal="center"/>
    </xf>
    <xf numFmtId="0" fontId="2" fillId="0" borderId="23" xfId="0" applyFont="1" applyFill="1" applyBorder="1" applyAlignment="1">
      <alignment horizontal="center"/>
    </xf>
    <xf numFmtId="0" fontId="2" fillId="0" borderId="27" xfId="0" applyFont="1" applyFill="1" applyBorder="1" applyAlignment="1">
      <alignment horizontal="center"/>
    </xf>
    <xf numFmtId="0" fontId="2" fillId="0" borderId="35" xfId="0" applyFont="1" applyFill="1" applyBorder="1" applyAlignment="1">
      <alignment horizontal="center"/>
    </xf>
    <xf numFmtId="0" fontId="47" fillId="0" borderId="0" xfId="0" applyNumberFormat="1" applyFont="1" applyFill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10" fillId="6" borderId="0" xfId="0" applyNumberFormat="1" applyFont="1" applyFill="1" applyAlignment="1">
      <alignment horizontal="center" vertical="center"/>
    </xf>
    <xf numFmtId="0" fontId="10" fillId="6" borderId="0" xfId="0" applyFont="1" applyFill="1" applyAlignment="1">
      <alignment horizontal="center" vertical="center"/>
    </xf>
    <xf numFmtId="0" fontId="34" fillId="6" borderId="0" xfId="0" applyFont="1" applyFill="1" applyAlignment="1">
      <alignment horizontal="center" vertical="center"/>
    </xf>
    <xf numFmtId="0" fontId="5" fillId="6" borderId="0" xfId="0" applyFont="1" applyFill="1" applyBorder="1" applyAlignment="1">
      <alignment horizontal="center" vertical="center" wrapText="1"/>
    </xf>
    <xf numFmtId="0" fontId="5" fillId="6" borderId="44" xfId="0" applyFont="1" applyFill="1" applyBorder="1" applyAlignment="1">
      <alignment horizontal="center" vertical="center" wrapText="1"/>
    </xf>
    <xf numFmtId="0" fontId="0" fillId="0" borderId="50" xfId="0" applyFont="1" applyBorder="1" applyAlignment="1">
      <alignment horizontal="left" vertical="top"/>
    </xf>
    <xf numFmtId="0" fontId="0" fillId="0" borderId="43" xfId="0" applyFont="1" applyBorder="1" applyAlignment="1">
      <alignment horizontal="left" vertical="top"/>
    </xf>
    <xf numFmtId="0" fontId="0" fillId="0" borderId="28" xfId="0" applyFont="1" applyBorder="1" applyAlignment="1">
      <alignment horizontal="left" vertical="top"/>
    </xf>
    <xf numFmtId="0" fontId="0" fillId="0" borderId="36" xfId="0" applyFont="1" applyBorder="1" applyAlignment="1">
      <alignment horizontal="left" vertical="top"/>
    </xf>
    <xf numFmtId="0" fontId="0" fillId="0" borderId="59" xfId="0" applyFont="1" applyBorder="1" applyAlignment="1">
      <alignment horizontal="left" vertical="top"/>
    </xf>
    <xf numFmtId="0" fontId="0" fillId="0" borderId="53" xfId="0" applyFont="1" applyBorder="1" applyAlignment="1">
      <alignment horizontal="left" vertical="top"/>
    </xf>
    <xf numFmtId="0" fontId="5" fillId="6" borderId="0" xfId="0" applyFont="1" applyFill="1" applyBorder="1"/>
    <xf numFmtId="0" fontId="5" fillId="6" borderId="44" xfId="0" applyFont="1" applyFill="1" applyBorder="1"/>
    <xf numFmtId="0" fontId="32" fillId="0" borderId="28" xfId="0" applyFont="1" applyBorder="1" applyAlignment="1">
      <alignment horizontal="left" vertical="top"/>
    </xf>
    <xf numFmtId="0" fontId="32" fillId="0" borderId="36" xfId="0" applyFont="1" applyBorder="1" applyAlignment="1">
      <alignment horizontal="left" vertical="top"/>
    </xf>
    <xf numFmtId="0" fontId="10" fillId="0" borderId="10" xfId="0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0" fontId="10" fillId="0" borderId="14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10" fillId="6" borderId="19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/>
    </xf>
    <xf numFmtId="0" fontId="6" fillId="0" borderId="11" xfId="0" applyFont="1" applyFill="1" applyBorder="1" applyAlignment="1">
      <alignment horizontal="center"/>
    </xf>
    <xf numFmtId="0" fontId="6" fillId="0" borderId="14" xfId="0" applyFont="1" applyFill="1" applyBorder="1" applyAlignment="1">
      <alignment horizontal="center"/>
    </xf>
    <xf numFmtId="0" fontId="4" fillId="0" borderId="47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/>
    </xf>
    <xf numFmtId="0" fontId="4" fillId="0" borderId="67" xfId="0" applyFont="1" applyBorder="1" applyAlignment="1">
      <alignment horizontal="center" vertical="center"/>
    </xf>
    <xf numFmtId="0" fontId="4" fillId="0" borderId="68" xfId="0" applyFont="1" applyBorder="1" applyAlignment="1">
      <alignment horizontal="center" vertical="center"/>
    </xf>
    <xf numFmtId="0" fontId="4" fillId="0" borderId="69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/>
    </xf>
    <xf numFmtId="0" fontId="20" fillId="0" borderId="0" xfId="0" applyFont="1" applyFill="1" applyAlignment="1">
      <alignment horizontal="center" vertical="center"/>
    </xf>
    <xf numFmtId="0" fontId="21" fillId="7" borderId="0" xfId="0" applyFont="1" applyFill="1" applyAlignment="1">
      <alignment horizontal="center" vertical="center"/>
    </xf>
    <xf numFmtId="0" fontId="3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0" fontId="0" fillId="0" borderId="37" xfId="0" applyFill="1" applyBorder="1" applyAlignment="1">
      <alignment vertical="center" wrapText="1"/>
    </xf>
    <xf numFmtId="0" fontId="0" fillId="0" borderId="60" xfId="0" applyFill="1" applyBorder="1" applyAlignment="1">
      <alignment vertical="center" wrapText="1"/>
    </xf>
    <xf numFmtId="0" fontId="11" fillId="6" borderId="0" xfId="0" applyFont="1" applyFill="1" applyBorder="1" applyAlignment="1">
      <alignment horizontal="center" vertical="center"/>
    </xf>
    <xf numFmtId="0" fontId="0" fillId="0" borderId="38" xfId="0" applyBorder="1" applyAlignment="1">
      <alignment vertical="center" wrapText="1"/>
    </xf>
    <xf numFmtId="0" fontId="0" fillId="0" borderId="37" xfId="0" applyBorder="1" applyAlignment="1">
      <alignment vertical="center" wrapText="1"/>
    </xf>
    <xf numFmtId="0" fontId="0" fillId="0" borderId="28" xfId="0" applyBorder="1" applyAlignment="1">
      <alignment vertical="center"/>
    </xf>
    <xf numFmtId="0" fontId="0" fillId="0" borderId="32" xfId="0" applyBorder="1" applyAlignment="1">
      <alignment vertical="center"/>
    </xf>
    <xf numFmtId="0" fontId="0" fillId="0" borderId="36" xfId="0" applyBorder="1" applyAlignment="1">
      <alignment vertical="center"/>
    </xf>
    <xf numFmtId="0" fontId="0" fillId="0" borderId="33" xfId="0" applyBorder="1" applyAlignment="1">
      <alignment vertical="center"/>
    </xf>
    <xf numFmtId="0" fontId="0" fillId="0" borderId="34" xfId="0" applyBorder="1" applyAlignment="1">
      <alignment vertical="center"/>
    </xf>
    <xf numFmtId="0" fontId="0" fillId="0" borderId="41" xfId="0" applyBorder="1" applyAlignment="1">
      <alignment vertical="center"/>
    </xf>
    <xf numFmtId="0" fontId="0" fillId="0" borderId="28" xfId="0" applyFill="1" applyBorder="1" applyAlignment="1">
      <alignment horizontal="left" vertical="center" wrapText="1"/>
    </xf>
    <xf numFmtId="0" fontId="0" fillId="0" borderId="32" xfId="0" applyFill="1" applyBorder="1" applyAlignment="1">
      <alignment horizontal="left" vertical="center" wrapText="1"/>
    </xf>
    <xf numFmtId="0" fontId="0" fillId="0" borderId="36" xfId="0" applyFill="1" applyBorder="1" applyAlignment="1">
      <alignment horizontal="left" vertical="center" wrapText="1"/>
    </xf>
    <xf numFmtId="0" fontId="0" fillId="0" borderId="50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3" xfId="0" applyBorder="1" applyAlignment="1">
      <alignment vertical="center"/>
    </xf>
    <xf numFmtId="0" fontId="3" fillId="0" borderId="28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3" fillId="0" borderId="36" xfId="0" applyFont="1" applyBorder="1" applyAlignment="1">
      <alignment horizontal="center" vertical="center"/>
    </xf>
    <xf numFmtId="0" fontId="30" fillId="0" borderId="28" xfId="0" applyFont="1" applyBorder="1" applyAlignment="1">
      <alignment horizontal="center" vertical="center"/>
    </xf>
    <xf numFmtId="0" fontId="30" fillId="0" borderId="32" xfId="0" applyFont="1" applyBorder="1" applyAlignment="1">
      <alignment horizontal="center" vertical="center"/>
    </xf>
    <xf numFmtId="0" fontId="30" fillId="0" borderId="36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5" fillId="7" borderId="16" xfId="0" applyNumberFormat="1" applyFont="1" applyFill="1" applyBorder="1" applyAlignment="1">
      <alignment horizontal="left" vertical="center"/>
    </xf>
    <xf numFmtId="0" fontId="5" fillId="7" borderId="18" xfId="0" applyNumberFormat="1" applyFont="1" applyFill="1" applyBorder="1" applyAlignment="1">
      <alignment horizontal="left" vertical="center"/>
    </xf>
    <xf numFmtId="0" fontId="1" fillId="0" borderId="16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wrapText="1"/>
    </xf>
    <xf numFmtId="0" fontId="16" fillId="0" borderId="18" xfId="0" applyFont="1" applyBorder="1" applyAlignment="1">
      <alignment horizontal="center" wrapText="1"/>
    </xf>
    <xf numFmtId="0" fontId="3" fillId="5" borderId="16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/>
    </xf>
    <xf numFmtId="0" fontId="3" fillId="5" borderId="18" xfId="0" applyFont="1" applyFill="1" applyBorder="1" applyAlignment="1">
      <alignment horizontal="center" vertical="center"/>
    </xf>
    <xf numFmtId="0" fontId="16" fillId="0" borderId="2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wrapText="1"/>
    </xf>
    <xf numFmtId="0" fontId="16" fillId="0" borderId="18" xfId="0" applyFont="1" applyFill="1" applyBorder="1" applyAlignment="1">
      <alignment horizontal="center" wrapText="1"/>
    </xf>
    <xf numFmtId="0" fontId="16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16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16" fillId="0" borderId="16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 applyFill="1" applyBorder="1" applyAlignment="1">
      <alignment horizontal="center" vertical="center" wrapText="1"/>
    </xf>
    <xf numFmtId="0" fontId="45" fillId="0" borderId="1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17" xfId="0" applyFont="1" applyBorder="1" applyAlignment="1">
      <alignment horizontal="center" vertical="center" wrapText="1"/>
    </xf>
    <xf numFmtId="0" fontId="31" fillId="0" borderId="18" xfId="0" applyFont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21" fillId="6" borderId="0" xfId="0" applyFont="1" applyFill="1" applyAlignment="1">
      <alignment horizontal="center" vertical="center"/>
    </xf>
    <xf numFmtId="0" fontId="5" fillId="6" borderId="16" xfId="0" applyNumberFormat="1" applyFont="1" applyFill="1" applyBorder="1" applyAlignment="1">
      <alignment horizontal="left" vertical="center"/>
    </xf>
    <xf numFmtId="0" fontId="5" fillId="6" borderId="18" xfId="0" applyNumberFormat="1" applyFont="1" applyFill="1" applyBorder="1" applyAlignment="1">
      <alignment horizontal="left" vertical="center"/>
    </xf>
    <xf numFmtId="0" fontId="4" fillId="5" borderId="16" xfId="0" applyFont="1" applyFill="1" applyBorder="1" applyAlignment="1">
      <alignment horizontal="center" vertical="center" wrapText="1"/>
    </xf>
    <xf numFmtId="0" fontId="4" fillId="5" borderId="17" xfId="0" applyFont="1" applyFill="1" applyBorder="1" applyAlignment="1">
      <alignment horizontal="center" vertical="center"/>
    </xf>
    <xf numFmtId="0" fontId="4" fillId="5" borderId="18" xfId="0" applyFont="1" applyFill="1" applyBorder="1" applyAlignment="1">
      <alignment horizontal="center" vertical="center"/>
    </xf>
    <xf numFmtId="0" fontId="13" fillId="0" borderId="2" xfId="0" applyNumberFormat="1" applyFont="1" applyFill="1" applyBorder="1" applyAlignment="1">
      <alignment horizontal="center" vertical="center" wrapText="1"/>
    </xf>
    <xf numFmtId="0" fontId="13" fillId="0" borderId="3" xfId="0" applyNumberFormat="1" applyFont="1" applyFill="1" applyBorder="1" applyAlignment="1">
      <alignment horizontal="center" vertical="center" wrapText="1"/>
    </xf>
    <xf numFmtId="0" fontId="13" fillId="0" borderId="4" xfId="0" applyNumberFormat="1" applyFont="1" applyFill="1" applyBorder="1" applyAlignment="1">
      <alignment horizontal="center" vertical="center" wrapText="1"/>
    </xf>
    <xf numFmtId="0" fontId="11" fillId="6" borderId="5" xfId="0" applyNumberFormat="1" applyFont="1" applyFill="1" applyBorder="1" applyAlignment="1">
      <alignment horizontal="center" vertical="center"/>
    </xf>
    <xf numFmtId="0" fontId="11" fillId="6" borderId="0" xfId="0" applyNumberFormat="1" applyFont="1" applyFill="1" applyBorder="1" applyAlignment="1">
      <alignment horizontal="center" vertical="center"/>
    </xf>
    <xf numFmtId="0" fontId="11" fillId="6" borderId="6" xfId="0" applyNumberFormat="1" applyFont="1" applyFill="1" applyBorder="1" applyAlignment="1">
      <alignment horizontal="center" vertical="center"/>
    </xf>
    <xf numFmtId="0" fontId="10" fillId="6" borderId="0" xfId="0" applyNumberFormat="1" applyFont="1" applyFill="1" applyBorder="1" applyAlignment="1">
      <alignment horizontal="center" vertical="center"/>
    </xf>
    <xf numFmtId="0" fontId="23" fillId="0" borderId="2" xfId="0" applyNumberFormat="1" applyFont="1" applyFill="1" applyBorder="1" applyAlignment="1">
      <alignment horizontal="center" vertical="center"/>
    </xf>
    <xf numFmtId="0" fontId="23" fillId="0" borderId="4" xfId="0" applyNumberFormat="1" applyFont="1" applyFill="1" applyBorder="1" applyAlignment="1">
      <alignment horizontal="center" vertical="center"/>
    </xf>
    <xf numFmtId="0" fontId="23" fillId="0" borderId="7" xfId="0" applyNumberFormat="1" applyFont="1" applyFill="1" applyBorder="1" applyAlignment="1">
      <alignment horizontal="center" vertical="center"/>
    </xf>
    <xf numFmtId="0" fontId="23" fillId="0" borderId="9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10" fillId="6" borderId="6" xfId="0" applyNumberFormat="1" applyFont="1" applyFill="1" applyBorder="1" applyAlignment="1">
      <alignment horizontal="center" vertical="center"/>
    </xf>
    <xf numFmtId="0" fontId="10" fillId="6" borderId="8" xfId="0" applyNumberFormat="1" applyFont="1" applyFill="1" applyBorder="1" applyAlignment="1">
      <alignment horizontal="center" vertical="center"/>
    </xf>
    <xf numFmtId="0" fontId="10" fillId="6" borderId="9" xfId="0" applyNumberFormat="1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/>
    </xf>
    <xf numFmtId="0" fontId="15" fillId="0" borderId="48" xfId="0" applyNumberFormat="1" applyFont="1" applyFill="1" applyBorder="1" applyAlignment="1">
      <alignment horizontal="center" vertical="center"/>
    </xf>
    <xf numFmtId="0" fontId="15" fillId="0" borderId="49" xfId="0" applyNumberFormat="1" applyFont="1" applyFill="1" applyBorder="1" applyAlignment="1">
      <alignment horizontal="center" vertical="center"/>
    </xf>
    <xf numFmtId="0" fontId="15" fillId="0" borderId="22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20" fontId="16" fillId="0" borderId="1" xfId="0" applyNumberFormat="1" applyFont="1" applyBorder="1" applyAlignment="1">
      <alignment horizontal="center" vertical="center"/>
    </xf>
    <xf numFmtId="49" fontId="17" fillId="0" borderId="2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 wrapText="1"/>
    </xf>
    <xf numFmtId="49" fontId="17" fillId="0" borderId="4" xfId="0" applyNumberFormat="1" applyFont="1" applyFill="1" applyBorder="1" applyAlignment="1">
      <alignment horizontal="center" vertical="center" wrapText="1"/>
    </xf>
    <xf numFmtId="49" fontId="17" fillId="0" borderId="7" xfId="0" applyNumberFormat="1" applyFont="1" applyFill="1" applyBorder="1" applyAlignment="1">
      <alignment horizontal="center" vertical="center" wrapText="1"/>
    </xf>
    <xf numFmtId="49" fontId="17" fillId="0" borderId="8" xfId="0" applyNumberFormat="1" applyFont="1" applyFill="1" applyBorder="1" applyAlignment="1">
      <alignment horizontal="center" vertical="center" wrapText="1"/>
    </xf>
    <xf numFmtId="49" fontId="17" fillId="0" borderId="9" xfId="0" applyNumberFormat="1" applyFont="1" applyFill="1" applyBorder="1" applyAlignment="1">
      <alignment horizontal="center" vertical="center" wrapText="1"/>
    </xf>
    <xf numFmtId="49" fontId="38" fillId="0" borderId="1" xfId="0" applyNumberFormat="1" applyFont="1" applyFill="1" applyBorder="1" applyAlignment="1">
      <alignment horizontal="center" vertical="center"/>
    </xf>
    <xf numFmtId="49" fontId="13" fillId="0" borderId="2" xfId="0" applyNumberFormat="1" applyFont="1" applyFill="1" applyBorder="1" applyAlignment="1">
      <alignment horizontal="center" vertical="center" wrapText="1"/>
    </xf>
    <xf numFmtId="49" fontId="13" fillId="0" borderId="4" xfId="0" applyNumberFormat="1" applyFont="1" applyFill="1" applyBorder="1" applyAlignment="1">
      <alignment horizontal="center" vertical="center" wrapText="1"/>
    </xf>
    <xf numFmtId="49" fontId="13" fillId="0" borderId="7" xfId="0" applyNumberFormat="1" applyFont="1" applyFill="1" applyBorder="1" applyAlignment="1">
      <alignment horizontal="center" vertical="center" wrapText="1"/>
    </xf>
    <xf numFmtId="49" fontId="13" fillId="0" borderId="9" xfId="0" applyNumberFormat="1" applyFont="1" applyFill="1" applyBorder="1" applyAlignment="1">
      <alignment horizontal="center" vertical="center" wrapText="1"/>
    </xf>
    <xf numFmtId="0" fontId="36" fillId="0" borderId="2" xfId="0" applyNumberFormat="1" applyFont="1" applyFill="1" applyBorder="1" applyAlignment="1">
      <alignment horizontal="center" vertical="center"/>
    </xf>
    <xf numFmtId="0" fontId="36" fillId="0" borderId="3" xfId="0" applyNumberFormat="1" applyFont="1" applyFill="1" applyBorder="1" applyAlignment="1">
      <alignment horizontal="center" vertical="center"/>
    </xf>
    <xf numFmtId="0" fontId="36" fillId="0" borderId="4" xfId="0" applyNumberFormat="1" applyFont="1" applyFill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6" fillId="0" borderId="7" xfId="0" applyFont="1" applyFill="1" applyBorder="1" applyAlignment="1">
      <alignment horizontal="center" vertical="center"/>
    </xf>
    <xf numFmtId="0" fontId="36" fillId="0" borderId="8" xfId="0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/>
    </xf>
    <xf numFmtId="0" fontId="15" fillId="0" borderId="2" xfId="0" applyNumberFormat="1" applyFont="1" applyFill="1" applyBorder="1" applyAlignment="1">
      <alignment horizontal="left" vertical="center"/>
    </xf>
    <xf numFmtId="0" fontId="15" fillId="0" borderId="3" xfId="0" applyNumberFormat="1" applyFont="1" applyFill="1" applyBorder="1" applyAlignment="1">
      <alignment horizontal="left" vertical="center"/>
    </xf>
    <xf numFmtId="0" fontId="15" fillId="0" borderId="4" xfId="0" applyNumberFormat="1" applyFont="1" applyFill="1" applyBorder="1" applyAlignment="1">
      <alignment horizontal="left" vertical="center"/>
    </xf>
    <xf numFmtId="0" fontId="15" fillId="0" borderId="5" xfId="0" applyNumberFormat="1" applyFont="1" applyFill="1" applyBorder="1" applyAlignment="1">
      <alignment horizontal="left" vertical="center"/>
    </xf>
    <xf numFmtId="0" fontId="15" fillId="0" borderId="0" xfId="0" applyNumberFormat="1" applyFont="1" applyFill="1" applyBorder="1" applyAlignment="1">
      <alignment horizontal="left" vertical="center"/>
    </xf>
    <xf numFmtId="0" fontId="15" fillId="0" borderId="6" xfId="0" applyNumberFormat="1" applyFont="1" applyFill="1" applyBorder="1" applyAlignment="1">
      <alignment horizontal="left" vertical="center"/>
    </xf>
    <xf numFmtId="0" fontId="15" fillId="0" borderId="7" xfId="0" applyNumberFormat="1" applyFont="1" applyFill="1" applyBorder="1" applyAlignment="1">
      <alignment horizontal="left" vertical="center"/>
    </xf>
    <xf numFmtId="0" fontId="15" fillId="0" borderId="8" xfId="0" applyNumberFormat="1" applyFont="1" applyFill="1" applyBorder="1" applyAlignment="1">
      <alignment horizontal="left" vertical="center"/>
    </xf>
    <xf numFmtId="0" fontId="15" fillId="0" borderId="9" xfId="0" applyNumberFormat="1" applyFont="1" applyFill="1" applyBorder="1" applyAlignment="1">
      <alignment horizontal="left" vertical="center"/>
    </xf>
    <xf numFmtId="20" fontId="15" fillId="0" borderId="5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 vertical="center"/>
    </xf>
    <xf numFmtId="49" fontId="15" fillId="0" borderId="5" xfId="0" applyNumberFormat="1" applyFont="1" applyFill="1" applyBorder="1" applyAlignment="1">
      <alignment horizontal="right" vertical="center"/>
    </xf>
    <xf numFmtId="49" fontId="15" fillId="0" borderId="0" xfId="0" applyNumberFormat="1" applyFont="1" applyFill="1" applyBorder="1" applyAlignment="1">
      <alignment horizontal="right" vertical="center"/>
    </xf>
    <xf numFmtId="49" fontId="15" fillId="0" borderId="16" xfId="0" applyNumberFormat="1" applyFont="1" applyFill="1" applyBorder="1" applyAlignment="1">
      <alignment horizontal="center" vertical="center"/>
    </xf>
    <xf numFmtId="49" fontId="15" fillId="0" borderId="17" xfId="0" applyNumberFormat="1" applyFont="1" applyFill="1" applyBorder="1" applyAlignment="1">
      <alignment horizontal="center" vertical="center"/>
    </xf>
    <xf numFmtId="49" fontId="15" fillId="0" borderId="18" xfId="0" applyNumberFormat="1" applyFont="1" applyFill="1" applyBorder="1" applyAlignment="1">
      <alignment horizontal="center" vertical="center"/>
    </xf>
    <xf numFmtId="49" fontId="15" fillId="0" borderId="2" xfId="0" applyNumberFormat="1" applyFont="1" applyFill="1" applyBorder="1" applyAlignment="1">
      <alignment horizontal="center" vertical="center"/>
    </xf>
    <xf numFmtId="49" fontId="15" fillId="0" borderId="3" xfId="0" applyNumberFormat="1" applyFont="1" applyFill="1" applyBorder="1" applyAlignment="1">
      <alignment horizontal="center" vertical="center"/>
    </xf>
    <xf numFmtId="49" fontId="15" fillId="0" borderId="4" xfId="0" applyNumberFormat="1" applyFont="1" applyFill="1" applyBorder="1" applyAlignment="1">
      <alignment horizontal="center" vertical="center"/>
    </xf>
    <xf numFmtId="49" fontId="15" fillId="0" borderId="7" xfId="0" applyNumberFormat="1" applyFont="1" applyFill="1" applyBorder="1" applyAlignment="1">
      <alignment horizontal="center" vertical="center"/>
    </xf>
    <xf numFmtId="49" fontId="15" fillId="0" borderId="8" xfId="0" applyNumberFormat="1" applyFont="1" applyFill="1" applyBorder="1" applyAlignment="1">
      <alignment horizontal="center" vertical="center"/>
    </xf>
    <xf numFmtId="49" fontId="15" fillId="0" borderId="9" xfId="0" applyNumberFormat="1" applyFont="1" applyFill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49" fontId="15" fillId="0" borderId="5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49" fontId="15" fillId="0" borderId="6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20" fontId="16" fillId="0" borderId="78" xfId="0" applyNumberFormat="1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996600"/>
      <color rgb="FF66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1.jpeg"/><Relationship Id="rId3" Type="http://schemas.openxmlformats.org/officeDocument/2006/relationships/image" Target="../media/image14.png"/><Relationship Id="rId7" Type="http://schemas.openxmlformats.org/officeDocument/2006/relationships/image" Target="../media/image17.png"/><Relationship Id="rId12" Type="http://schemas.openxmlformats.org/officeDocument/2006/relationships/image" Target="../media/image5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.png"/><Relationship Id="rId11" Type="http://schemas.openxmlformats.org/officeDocument/2006/relationships/image" Target="../media/image7.jpeg"/><Relationship Id="rId5" Type="http://schemas.openxmlformats.org/officeDocument/2006/relationships/image" Target="../media/image16.jpeg"/><Relationship Id="rId15" Type="http://schemas.openxmlformats.org/officeDocument/2006/relationships/image" Target="../media/image23.png"/><Relationship Id="rId10" Type="http://schemas.openxmlformats.org/officeDocument/2006/relationships/image" Target="../media/image20.png"/><Relationship Id="rId4" Type="http://schemas.openxmlformats.org/officeDocument/2006/relationships/image" Target="../media/image15.jpeg"/><Relationship Id="rId9" Type="http://schemas.openxmlformats.org/officeDocument/2006/relationships/image" Target="../media/image19.jpeg"/><Relationship Id="rId14" Type="http://schemas.openxmlformats.org/officeDocument/2006/relationships/image" Target="../media/image2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1.png"/><Relationship Id="rId1" Type="http://schemas.openxmlformats.org/officeDocument/2006/relationships/image" Target="../media/image2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25.png"/><Relationship Id="rId1" Type="http://schemas.openxmlformats.org/officeDocument/2006/relationships/image" Target="../media/image11.png"/><Relationship Id="rId4" Type="http://schemas.openxmlformats.org/officeDocument/2006/relationships/image" Target="../media/image24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24.png"/><Relationship Id="rId1" Type="http://schemas.openxmlformats.org/officeDocument/2006/relationships/image" Target="../media/image11.png"/><Relationship Id="rId4" Type="http://schemas.openxmlformats.org/officeDocument/2006/relationships/image" Target="../media/image26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jpeg"/><Relationship Id="rId13" Type="http://schemas.openxmlformats.org/officeDocument/2006/relationships/image" Target="../media/image27.jpeg"/><Relationship Id="rId3" Type="http://schemas.openxmlformats.org/officeDocument/2006/relationships/image" Target="../media/image15.jpeg"/><Relationship Id="rId7" Type="http://schemas.openxmlformats.org/officeDocument/2006/relationships/image" Target="../media/image17.png"/><Relationship Id="rId12" Type="http://schemas.openxmlformats.org/officeDocument/2006/relationships/image" Target="../media/image5.png"/><Relationship Id="rId2" Type="http://schemas.openxmlformats.org/officeDocument/2006/relationships/image" Target="../media/image14.png"/><Relationship Id="rId1" Type="http://schemas.openxmlformats.org/officeDocument/2006/relationships/image" Target="../media/image12.png"/><Relationship Id="rId6" Type="http://schemas.openxmlformats.org/officeDocument/2006/relationships/image" Target="../media/image2.png"/><Relationship Id="rId11" Type="http://schemas.openxmlformats.org/officeDocument/2006/relationships/image" Target="../media/image7.jpeg"/><Relationship Id="rId5" Type="http://schemas.openxmlformats.org/officeDocument/2006/relationships/image" Target="../media/image18.png"/><Relationship Id="rId15" Type="http://schemas.openxmlformats.org/officeDocument/2006/relationships/image" Target="../media/image23.png"/><Relationship Id="rId10" Type="http://schemas.openxmlformats.org/officeDocument/2006/relationships/image" Target="../media/image20.png"/><Relationship Id="rId4" Type="http://schemas.openxmlformats.org/officeDocument/2006/relationships/image" Target="../media/image16.jpeg"/><Relationship Id="rId9" Type="http://schemas.openxmlformats.org/officeDocument/2006/relationships/image" Target="../media/image13.png"/><Relationship Id="rId14" Type="http://schemas.openxmlformats.org/officeDocument/2006/relationships/image" Target="../media/image2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1.png"/><Relationship Id="rId1" Type="http://schemas.openxmlformats.org/officeDocument/2006/relationships/image" Target="../media/image2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25.png"/><Relationship Id="rId1" Type="http://schemas.openxmlformats.org/officeDocument/2006/relationships/image" Target="../media/image11.png"/><Relationship Id="rId4" Type="http://schemas.openxmlformats.org/officeDocument/2006/relationships/image" Target="../media/image2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24.png"/><Relationship Id="rId1" Type="http://schemas.openxmlformats.org/officeDocument/2006/relationships/image" Target="../media/image11.png"/><Relationship Id="rId4" Type="http://schemas.openxmlformats.org/officeDocument/2006/relationships/image" Target="../media/image26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1251855</xdr:colOff>
      <xdr:row>17</xdr:row>
      <xdr:rowOff>272144</xdr:rowOff>
    </xdr:from>
    <xdr:to>
      <xdr:col>5</xdr:col>
      <xdr:colOff>217714</xdr:colOff>
      <xdr:row>17</xdr:row>
      <xdr:rowOff>701388</xdr:rowOff>
    </xdr:to>
    <xdr:sp macro="" textlink="">
      <xdr:nvSpPr>
        <xdr:cNvPr id="634" name="Полилиния 633"/>
        <xdr:cNvSpPr/>
      </xdr:nvSpPr>
      <xdr:spPr>
        <a:xfrm flipH="1">
          <a:off x="4381498" y="30126215"/>
          <a:ext cx="353787" cy="429244"/>
        </a:xfrm>
        <a:custGeom>
          <a:avLst/>
          <a:gdLst>
            <a:gd name="connsiteX0" fmla="*/ 343580 w 343580"/>
            <a:gd name="connsiteY0" fmla="*/ 0 h 496660"/>
            <a:gd name="connsiteX1" fmla="*/ 0 w 343580"/>
            <a:gd name="connsiteY1" fmla="*/ 496660 h 496660"/>
            <a:gd name="connsiteX2" fmla="*/ 340178 w 343580"/>
            <a:gd name="connsiteY2" fmla="*/ 425223 h 496660"/>
            <a:gd name="connsiteX3" fmla="*/ 343580 w 343580"/>
            <a:gd name="connsiteY3" fmla="*/ 0 h 496660"/>
            <a:gd name="connsiteX0" fmla="*/ 343580 w 343580"/>
            <a:gd name="connsiteY0" fmla="*/ 0 h 541981"/>
            <a:gd name="connsiteX1" fmla="*/ 0 w 343580"/>
            <a:gd name="connsiteY1" fmla="*/ 496660 h 541981"/>
            <a:gd name="connsiteX2" fmla="*/ 278726 w 343580"/>
            <a:gd name="connsiteY2" fmla="*/ 541981 h 541981"/>
            <a:gd name="connsiteX3" fmla="*/ 343580 w 343580"/>
            <a:gd name="connsiteY3" fmla="*/ 0 h 541981"/>
            <a:gd name="connsiteX0" fmla="*/ 349725 w 349725"/>
            <a:gd name="connsiteY0" fmla="*/ 0 h 581924"/>
            <a:gd name="connsiteX1" fmla="*/ 0 w 349725"/>
            <a:gd name="connsiteY1" fmla="*/ 536603 h 581924"/>
            <a:gd name="connsiteX2" fmla="*/ 278726 w 349725"/>
            <a:gd name="connsiteY2" fmla="*/ 581924 h 581924"/>
            <a:gd name="connsiteX3" fmla="*/ 349725 w 349725"/>
            <a:gd name="connsiteY3" fmla="*/ 0 h 581924"/>
            <a:gd name="connsiteX0" fmla="*/ 349725 w 349725"/>
            <a:gd name="connsiteY0" fmla="*/ 0 h 536603"/>
            <a:gd name="connsiteX1" fmla="*/ 0 w 349725"/>
            <a:gd name="connsiteY1" fmla="*/ 536603 h 536603"/>
            <a:gd name="connsiteX2" fmla="*/ 343250 w 349725"/>
            <a:gd name="connsiteY2" fmla="*/ 480529 h 536603"/>
            <a:gd name="connsiteX3" fmla="*/ 349725 w 349725"/>
            <a:gd name="connsiteY3" fmla="*/ 0 h 536603"/>
            <a:gd name="connsiteX0" fmla="*/ 349725 w 349725"/>
            <a:gd name="connsiteY0" fmla="*/ 0 h 374678"/>
            <a:gd name="connsiteX1" fmla="*/ 0 w 349725"/>
            <a:gd name="connsiteY1" fmla="*/ 374678 h 374678"/>
            <a:gd name="connsiteX2" fmla="*/ 343250 w 349725"/>
            <a:gd name="connsiteY2" fmla="*/ 318604 h 374678"/>
            <a:gd name="connsiteX3" fmla="*/ 349725 w 349725"/>
            <a:gd name="connsiteY3" fmla="*/ 0 h 3746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49725" h="374678">
              <a:moveTo>
                <a:pt x="349725" y="0"/>
              </a:moveTo>
              <a:lnTo>
                <a:pt x="0" y="374678"/>
              </a:lnTo>
              <a:lnTo>
                <a:pt x="343250" y="318604"/>
              </a:lnTo>
              <a:cubicBezTo>
                <a:pt x="345408" y="158428"/>
                <a:pt x="347567" y="160176"/>
                <a:pt x="349725" y="0"/>
              </a:cubicBezTo>
              <a:close/>
            </a:path>
          </a:pathLst>
        </a:custGeom>
        <a:solidFill>
          <a:schemeClr val="tx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5</xdr:col>
      <xdr:colOff>517072</xdr:colOff>
      <xdr:row>17</xdr:row>
      <xdr:rowOff>231322</xdr:rowOff>
    </xdr:from>
    <xdr:to>
      <xdr:col>6</xdr:col>
      <xdr:colOff>415018</xdr:colOff>
      <xdr:row>17</xdr:row>
      <xdr:rowOff>1262743</xdr:rowOff>
    </xdr:to>
    <xdr:pic>
      <xdr:nvPicPr>
        <xdr:cNvPr id="209" name="Рисунок 20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4643" y="30085393"/>
          <a:ext cx="1013732" cy="1031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232129</xdr:colOff>
      <xdr:row>13</xdr:row>
      <xdr:rowOff>533812</xdr:rowOff>
    </xdr:from>
    <xdr:to>
      <xdr:col>4</xdr:col>
      <xdr:colOff>1219679</xdr:colOff>
      <xdr:row>13</xdr:row>
      <xdr:rowOff>2556010</xdr:rowOff>
    </xdr:to>
    <xdr:sp macro="" textlink="">
      <xdr:nvSpPr>
        <xdr:cNvPr id="604" name="Полилиния 603"/>
        <xdr:cNvSpPr/>
      </xdr:nvSpPr>
      <xdr:spPr>
        <a:xfrm>
          <a:off x="3354672" y="21207203"/>
          <a:ext cx="987550" cy="2022198"/>
        </a:xfrm>
        <a:custGeom>
          <a:avLst/>
          <a:gdLst>
            <a:gd name="connsiteX0" fmla="*/ 9525 w 1400175"/>
            <a:gd name="connsiteY0" fmla="*/ 2647950 h 2647950"/>
            <a:gd name="connsiteX1" fmla="*/ 0 w 1400175"/>
            <a:gd name="connsiteY1" fmla="*/ 1409700 h 2647950"/>
            <a:gd name="connsiteX2" fmla="*/ 76200 w 1400175"/>
            <a:gd name="connsiteY2" fmla="*/ 1047750 h 2647950"/>
            <a:gd name="connsiteX3" fmla="*/ 247650 w 1400175"/>
            <a:gd name="connsiteY3" fmla="*/ 762000 h 2647950"/>
            <a:gd name="connsiteX4" fmla="*/ 647700 w 1400175"/>
            <a:gd name="connsiteY4" fmla="*/ 438150 h 2647950"/>
            <a:gd name="connsiteX5" fmla="*/ 781050 w 1400175"/>
            <a:gd name="connsiteY5" fmla="*/ 361950 h 2647950"/>
            <a:gd name="connsiteX6" fmla="*/ 781050 w 1400175"/>
            <a:gd name="connsiteY6" fmla="*/ 361950 h 2647950"/>
            <a:gd name="connsiteX7" fmla="*/ 857250 w 1400175"/>
            <a:gd name="connsiteY7" fmla="*/ 361950 h 2647950"/>
            <a:gd name="connsiteX8" fmla="*/ 847725 w 1400175"/>
            <a:gd name="connsiteY8" fmla="*/ 457200 h 2647950"/>
            <a:gd name="connsiteX9" fmla="*/ 638175 w 1400175"/>
            <a:gd name="connsiteY9" fmla="*/ 581025 h 2647950"/>
            <a:gd name="connsiteX10" fmla="*/ 381000 w 1400175"/>
            <a:gd name="connsiteY10" fmla="*/ 828675 h 2647950"/>
            <a:gd name="connsiteX11" fmla="*/ 295275 w 1400175"/>
            <a:gd name="connsiteY11" fmla="*/ 990600 h 2647950"/>
            <a:gd name="connsiteX12" fmla="*/ 228600 w 1400175"/>
            <a:gd name="connsiteY12" fmla="*/ 1114425 h 2647950"/>
            <a:gd name="connsiteX13" fmla="*/ 152400 w 1400175"/>
            <a:gd name="connsiteY13" fmla="*/ 1409700 h 2647950"/>
            <a:gd name="connsiteX14" fmla="*/ 171450 w 1400175"/>
            <a:gd name="connsiteY14" fmla="*/ 2352675 h 2647950"/>
            <a:gd name="connsiteX15" fmla="*/ 1009650 w 1400175"/>
            <a:gd name="connsiteY15" fmla="*/ 2333625 h 2647950"/>
            <a:gd name="connsiteX16" fmla="*/ 1114425 w 1400175"/>
            <a:gd name="connsiteY16" fmla="*/ 2324100 h 2647950"/>
            <a:gd name="connsiteX17" fmla="*/ 1095375 w 1400175"/>
            <a:gd name="connsiteY17" fmla="*/ 485775 h 2647950"/>
            <a:gd name="connsiteX18" fmla="*/ 1171575 w 1400175"/>
            <a:gd name="connsiteY18" fmla="*/ 247650 h 2647950"/>
            <a:gd name="connsiteX19" fmla="*/ 1400175 w 1400175"/>
            <a:gd name="connsiteY19" fmla="*/ 0 h 2647950"/>
            <a:gd name="connsiteX0" fmla="*/ 9525 w 1400175"/>
            <a:gd name="connsiteY0" fmla="*/ 2647950 h 2647950"/>
            <a:gd name="connsiteX1" fmla="*/ 0 w 1400175"/>
            <a:gd name="connsiteY1" fmla="*/ 1409700 h 2647950"/>
            <a:gd name="connsiteX2" fmla="*/ 76200 w 1400175"/>
            <a:gd name="connsiteY2" fmla="*/ 1047750 h 2647950"/>
            <a:gd name="connsiteX3" fmla="*/ 247650 w 1400175"/>
            <a:gd name="connsiteY3" fmla="*/ 762000 h 2647950"/>
            <a:gd name="connsiteX4" fmla="*/ 647700 w 1400175"/>
            <a:gd name="connsiteY4" fmla="*/ 438150 h 2647950"/>
            <a:gd name="connsiteX5" fmla="*/ 781050 w 1400175"/>
            <a:gd name="connsiteY5" fmla="*/ 361950 h 2647950"/>
            <a:gd name="connsiteX6" fmla="*/ 781050 w 1400175"/>
            <a:gd name="connsiteY6" fmla="*/ 361950 h 2647950"/>
            <a:gd name="connsiteX7" fmla="*/ 857250 w 1400175"/>
            <a:gd name="connsiteY7" fmla="*/ 361950 h 2647950"/>
            <a:gd name="connsiteX8" fmla="*/ 847725 w 1400175"/>
            <a:gd name="connsiteY8" fmla="*/ 457200 h 2647950"/>
            <a:gd name="connsiteX9" fmla="*/ 638175 w 1400175"/>
            <a:gd name="connsiteY9" fmla="*/ 581025 h 2647950"/>
            <a:gd name="connsiteX10" fmla="*/ 381000 w 1400175"/>
            <a:gd name="connsiteY10" fmla="*/ 828675 h 2647950"/>
            <a:gd name="connsiteX11" fmla="*/ 295275 w 1400175"/>
            <a:gd name="connsiteY11" fmla="*/ 990600 h 2647950"/>
            <a:gd name="connsiteX12" fmla="*/ 228600 w 1400175"/>
            <a:gd name="connsiteY12" fmla="*/ 1114425 h 2647950"/>
            <a:gd name="connsiteX13" fmla="*/ 152400 w 1400175"/>
            <a:gd name="connsiteY13" fmla="*/ 1409700 h 2647950"/>
            <a:gd name="connsiteX14" fmla="*/ 171450 w 1400175"/>
            <a:gd name="connsiteY14" fmla="*/ 2352675 h 2647950"/>
            <a:gd name="connsiteX15" fmla="*/ 942975 w 1400175"/>
            <a:gd name="connsiteY15" fmla="*/ 2352675 h 2647950"/>
            <a:gd name="connsiteX16" fmla="*/ 1114425 w 1400175"/>
            <a:gd name="connsiteY16" fmla="*/ 2324100 h 2647950"/>
            <a:gd name="connsiteX17" fmla="*/ 1095375 w 1400175"/>
            <a:gd name="connsiteY17" fmla="*/ 485775 h 2647950"/>
            <a:gd name="connsiteX18" fmla="*/ 1171575 w 1400175"/>
            <a:gd name="connsiteY18" fmla="*/ 247650 h 2647950"/>
            <a:gd name="connsiteX19" fmla="*/ 1400175 w 1400175"/>
            <a:gd name="connsiteY19" fmla="*/ 0 h 2647950"/>
            <a:gd name="connsiteX0" fmla="*/ 9525 w 1400175"/>
            <a:gd name="connsiteY0" fmla="*/ 2647950 h 2647950"/>
            <a:gd name="connsiteX1" fmla="*/ 0 w 1400175"/>
            <a:gd name="connsiteY1" fmla="*/ 1409700 h 2647950"/>
            <a:gd name="connsiteX2" fmla="*/ 76200 w 1400175"/>
            <a:gd name="connsiteY2" fmla="*/ 1047750 h 2647950"/>
            <a:gd name="connsiteX3" fmla="*/ 247650 w 1400175"/>
            <a:gd name="connsiteY3" fmla="*/ 762000 h 2647950"/>
            <a:gd name="connsiteX4" fmla="*/ 647700 w 1400175"/>
            <a:gd name="connsiteY4" fmla="*/ 438150 h 2647950"/>
            <a:gd name="connsiteX5" fmla="*/ 781050 w 1400175"/>
            <a:gd name="connsiteY5" fmla="*/ 361950 h 2647950"/>
            <a:gd name="connsiteX6" fmla="*/ 781050 w 1400175"/>
            <a:gd name="connsiteY6" fmla="*/ 361950 h 2647950"/>
            <a:gd name="connsiteX7" fmla="*/ 857250 w 1400175"/>
            <a:gd name="connsiteY7" fmla="*/ 361950 h 2647950"/>
            <a:gd name="connsiteX8" fmla="*/ 847725 w 1400175"/>
            <a:gd name="connsiteY8" fmla="*/ 457200 h 2647950"/>
            <a:gd name="connsiteX9" fmla="*/ 638175 w 1400175"/>
            <a:gd name="connsiteY9" fmla="*/ 581025 h 2647950"/>
            <a:gd name="connsiteX10" fmla="*/ 381000 w 1400175"/>
            <a:gd name="connsiteY10" fmla="*/ 828675 h 2647950"/>
            <a:gd name="connsiteX11" fmla="*/ 295275 w 1400175"/>
            <a:gd name="connsiteY11" fmla="*/ 990600 h 2647950"/>
            <a:gd name="connsiteX12" fmla="*/ 228600 w 1400175"/>
            <a:gd name="connsiteY12" fmla="*/ 1114425 h 2647950"/>
            <a:gd name="connsiteX13" fmla="*/ 152400 w 1400175"/>
            <a:gd name="connsiteY13" fmla="*/ 1409700 h 2647950"/>
            <a:gd name="connsiteX14" fmla="*/ 171450 w 1400175"/>
            <a:gd name="connsiteY14" fmla="*/ 2352675 h 2647950"/>
            <a:gd name="connsiteX15" fmla="*/ 1114425 w 1400175"/>
            <a:gd name="connsiteY15" fmla="*/ 2324100 h 2647950"/>
            <a:gd name="connsiteX16" fmla="*/ 1095375 w 1400175"/>
            <a:gd name="connsiteY16" fmla="*/ 485775 h 2647950"/>
            <a:gd name="connsiteX17" fmla="*/ 1171575 w 1400175"/>
            <a:gd name="connsiteY17" fmla="*/ 247650 h 2647950"/>
            <a:gd name="connsiteX18" fmla="*/ 1400175 w 1400175"/>
            <a:gd name="connsiteY18" fmla="*/ 0 h 2647950"/>
            <a:gd name="connsiteX0" fmla="*/ 9525 w 1400175"/>
            <a:gd name="connsiteY0" fmla="*/ 2647950 h 2647950"/>
            <a:gd name="connsiteX1" fmla="*/ 0 w 1400175"/>
            <a:gd name="connsiteY1" fmla="*/ 1409700 h 2647950"/>
            <a:gd name="connsiteX2" fmla="*/ 76200 w 1400175"/>
            <a:gd name="connsiteY2" fmla="*/ 1047750 h 2647950"/>
            <a:gd name="connsiteX3" fmla="*/ 247650 w 1400175"/>
            <a:gd name="connsiteY3" fmla="*/ 762000 h 2647950"/>
            <a:gd name="connsiteX4" fmla="*/ 647700 w 1400175"/>
            <a:gd name="connsiteY4" fmla="*/ 438150 h 2647950"/>
            <a:gd name="connsiteX5" fmla="*/ 781050 w 1400175"/>
            <a:gd name="connsiteY5" fmla="*/ 361950 h 2647950"/>
            <a:gd name="connsiteX6" fmla="*/ 781050 w 1400175"/>
            <a:gd name="connsiteY6" fmla="*/ 361950 h 2647950"/>
            <a:gd name="connsiteX7" fmla="*/ 857250 w 1400175"/>
            <a:gd name="connsiteY7" fmla="*/ 361950 h 2647950"/>
            <a:gd name="connsiteX8" fmla="*/ 847725 w 1400175"/>
            <a:gd name="connsiteY8" fmla="*/ 457200 h 2647950"/>
            <a:gd name="connsiteX9" fmla="*/ 638175 w 1400175"/>
            <a:gd name="connsiteY9" fmla="*/ 581025 h 2647950"/>
            <a:gd name="connsiteX10" fmla="*/ 381000 w 1400175"/>
            <a:gd name="connsiteY10" fmla="*/ 828675 h 2647950"/>
            <a:gd name="connsiteX11" fmla="*/ 295275 w 1400175"/>
            <a:gd name="connsiteY11" fmla="*/ 990600 h 2647950"/>
            <a:gd name="connsiteX12" fmla="*/ 228600 w 1400175"/>
            <a:gd name="connsiteY12" fmla="*/ 1114425 h 2647950"/>
            <a:gd name="connsiteX13" fmla="*/ 152400 w 1400175"/>
            <a:gd name="connsiteY13" fmla="*/ 1409700 h 2647950"/>
            <a:gd name="connsiteX14" fmla="*/ 171450 w 1400175"/>
            <a:gd name="connsiteY14" fmla="*/ 2352675 h 2647950"/>
            <a:gd name="connsiteX15" fmla="*/ 1123950 w 1400175"/>
            <a:gd name="connsiteY15" fmla="*/ 2333625 h 2647950"/>
            <a:gd name="connsiteX16" fmla="*/ 1095375 w 1400175"/>
            <a:gd name="connsiteY16" fmla="*/ 485775 h 2647950"/>
            <a:gd name="connsiteX17" fmla="*/ 1171575 w 1400175"/>
            <a:gd name="connsiteY17" fmla="*/ 247650 h 2647950"/>
            <a:gd name="connsiteX18" fmla="*/ 1400175 w 1400175"/>
            <a:gd name="connsiteY18" fmla="*/ 0 h 2647950"/>
            <a:gd name="connsiteX0" fmla="*/ 9525 w 1400175"/>
            <a:gd name="connsiteY0" fmla="*/ 2647950 h 2647950"/>
            <a:gd name="connsiteX1" fmla="*/ 0 w 1400175"/>
            <a:gd name="connsiteY1" fmla="*/ 1409700 h 2647950"/>
            <a:gd name="connsiteX2" fmla="*/ 76200 w 1400175"/>
            <a:gd name="connsiteY2" fmla="*/ 1047750 h 2647950"/>
            <a:gd name="connsiteX3" fmla="*/ 247650 w 1400175"/>
            <a:gd name="connsiteY3" fmla="*/ 762000 h 2647950"/>
            <a:gd name="connsiteX4" fmla="*/ 647700 w 1400175"/>
            <a:gd name="connsiteY4" fmla="*/ 438150 h 2647950"/>
            <a:gd name="connsiteX5" fmla="*/ 781050 w 1400175"/>
            <a:gd name="connsiteY5" fmla="*/ 361950 h 2647950"/>
            <a:gd name="connsiteX6" fmla="*/ 781050 w 1400175"/>
            <a:gd name="connsiteY6" fmla="*/ 361950 h 2647950"/>
            <a:gd name="connsiteX7" fmla="*/ 857250 w 1400175"/>
            <a:gd name="connsiteY7" fmla="*/ 361950 h 2647950"/>
            <a:gd name="connsiteX8" fmla="*/ 847725 w 1400175"/>
            <a:gd name="connsiteY8" fmla="*/ 457200 h 2647950"/>
            <a:gd name="connsiteX9" fmla="*/ 638175 w 1400175"/>
            <a:gd name="connsiteY9" fmla="*/ 581025 h 2647950"/>
            <a:gd name="connsiteX10" fmla="*/ 381000 w 1400175"/>
            <a:gd name="connsiteY10" fmla="*/ 828675 h 2647950"/>
            <a:gd name="connsiteX11" fmla="*/ 295275 w 1400175"/>
            <a:gd name="connsiteY11" fmla="*/ 990600 h 2647950"/>
            <a:gd name="connsiteX12" fmla="*/ 228600 w 1400175"/>
            <a:gd name="connsiteY12" fmla="*/ 1114425 h 2647950"/>
            <a:gd name="connsiteX13" fmla="*/ 152400 w 1400175"/>
            <a:gd name="connsiteY13" fmla="*/ 1409700 h 2647950"/>
            <a:gd name="connsiteX14" fmla="*/ 171450 w 1400175"/>
            <a:gd name="connsiteY14" fmla="*/ 2352675 h 2647950"/>
            <a:gd name="connsiteX15" fmla="*/ 1114425 w 1400175"/>
            <a:gd name="connsiteY15" fmla="*/ 2343150 h 2647950"/>
            <a:gd name="connsiteX16" fmla="*/ 1095375 w 1400175"/>
            <a:gd name="connsiteY16" fmla="*/ 485775 h 2647950"/>
            <a:gd name="connsiteX17" fmla="*/ 1171575 w 1400175"/>
            <a:gd name="connsiteY17" fmla="*/ 247650 h 2647950"/>
            <a:gd name="connsiteX18" fmla="*/ 1400175 w 1400175"/>
            <a:gd name="connsiteY18" fmla="*/ 0 h 2647950"/>
            <a:gd name="connsiteX0" fmla="*/ 9525 w 1400175"/>
            <a:gd name="connsiteY0" fmla="*/ 2647950 h 2647950"/>
            <a:gd name="connsiteX1" fmla="*/ 0 w 1400175"/>
            <a:gd name="connsiteY1" fmla="*/ 1409700 h 2647950"/>
            <a:gd name="connsiteX2" fmla="*/ 76200 w 1400175"/>
            <a:gd name="connsiteY2" fmla="*/ 1047750 h 2647950"/>
            <a:gd name="connsiteX3" fmla="*/ 247650 w 1400175"/>
            <a:gd name="connsiteY3" fmla="*/ 762000 h 2647950"/>
            <a:gd name="connsiteX4" fmla="*/ 647700 w 1400175"/>
            <a:gd name="connsiteY4" fmla="*/ 438150 h 2647950"/>
            <a:gd name="connsiteX5" fmla="*/ 781050 w 1400175"/>
            <a:gd name="connsiteY5" fmla="*/ 361950 h 2647950"/>
            <a:gd name="connsiteX6" fmla="*/ 781050 w 1400175"/>
            <a:gd name="connsiteY6" fmla="*/ 361950 h 2647950"/>
            <a:gd name="connsiteX7" fmla="*/ 857250 w 1400175"/>
            <a:gd name="connsiteY7" fmla="*/ 361950 h 2647950"/>
            <a:gd name="connsiteX8" fmla="*/ 847725 w 1400175"/>
            <a:gd name="connsiteY8" fmla="*/ 457200 h 2647950"/>
            <a:gd name="connsiteX9" fmla="*/ 638175 w 1400175"/>
            <a:gd name="connsiteY9" fmla="*/ 581025 h 2647950"/>
            <a:gd name="connsiteX10" fmla="*/ 381000 w 1400175"/>
            <a:gd name="connsiteY10" fmla="*/ 828675 h 2647950"/>
            <a:gd name="connsiteX11" fmla="*/ 295275 w 1400175"/>
            <a:gd name="connsiteY11" fmla="*/ 990600 h 2647950"/>
            <a:gd name="connsiteX12" fmla="*/ 228600 w 1400175"/>
            <a:gd name="connsiteY12" fmla="*/ 1114425 h 2647950"/>
            <a:gd name="connsiteX13" fmla="*/ 152400 w 1400175"/>
            <a:gd name="connsiteY13" fmla="*/ 1409700 h 2647950"/>
            <a:gd name="connsiteX14" fmla="*/ 171450 w 1400175"/>
            <a:gd name="connsiteY14" fmla="*/ 2352675 h 2647950"/>
            <a:gd name="connsiteX15" fmla="*/ 1114425 w 1400175"/>
            <a:gd name="connsiteY15" fmla="*/ 2352675 h 2647950"/>
            <a:gd name="connsiteX16" fmla="*/ 1095375 w 1400175"/>
            <a:gd name="connsiteY16" fmla="*/ 485775 h 2647950"/>
            <a:gd name="connsiteX17" fmla="*/ 1171575 w 1400175"/>
            <a:gd name="connsiteY17" fmla="*/ 247650 h 2647950"/>
            <a:gd name="connsiteX18" fmla="*/ 1400175 w 1400175"/>
            <a:gd name="connsiteY18" fmla="*/ 0 h 2647950"/>
            <a:gd name="connsiteX0" fmla="*/ 9525 w 1400175"/>
            <a:gd name="connsiteY0" fmla="*/ 2647950 h 2647950"/>
            <a:gd name="connsiteX1" fmla="*/ 0 w 1400175"/>
            <a:gd name="connsiteY1" fmla="*/ 1409700 h 2647950"/>
            <a:gd name="connsiteX2" fmla="*/ 76200 w 1400175"/>
            <a:gd name="connsiteY2" fmla="*/ 1047750 h 2647950"/>
            <a:gd name="connsiteX3" fmla="*/ 247650 w 1400175"/>
            <a:gd name="connsiteY3" fmla="*/ 762000 h 2647950"/>
            <a:gd name="connsiteX4" fmla="*/ 647700 w 1400175"/>
            <a:gd name="connsiteY4" fmla="*/ 438150 h 2647950"/>
            <a:gd name="connsiteX5" fmla="*/ 781050 w 1400175"/>
            <a:gd name="connsiteY5" fmla="*/ 361950 h 2647950"/>
            <a:gd name="connsiteX6" fmla="*/ 781050 w 1400175"/>
            <a:gd name="connsiteY6" fmla="*/ 361950 h 2647950"/>
            <a:gd name="connsiteX7" fmla="*/ 857250 w 1400175"/>
            <a:gd name="connsiteY7" fmla="*/ 361950 h 2647950"/>
            <a:gd name="connsiteX8" fmla="*/ 847725 w 1400175"/>
            <a:gd name="connsiteY8" fmla="*/ 457200 h 2647950"/>
            <a:gd name="connsiteX9" fmla="*/ 638175 w 1400175"/>
            <a:gd name="connsiteY9" fmla="*/ 581025 h 2647950"/>
            <a:gd name="connsiteX10" fmla="*/ 381000 w 1400175"/>
            <a:gd name="connsiteY10" fmla="*/ 828675 h 2647950"/>
            <a:gd name="connsiteX11" fmla="*/ 295275 w 1400175"/>
            <a:gd name="connsiteY11" fmla="*/ 990600 h 2647950"/>
            <a:gd name="connsiteX12" fmla="*/ 228600 w 1400175"/>
            <a:gd name="connsiteY12" fmla="*/ 1114425 h 2647950"/>
            <a:gd name="connsiteX13" fmla="*/ 152400 w 1400175"/>
            <a:gd name="connsiteY13" fmla="*/ 1409700 h 2647950"/>
            <a:gd name="connsiteX14" fmla="*/ 171450 w 1400175"/>
            <a:gd name="connsiteY14" fmla="*/ 2352675 h 2647950"/>
            <a:gd name="connsiteX15" fmla="*/ 1114425 w 1400175"/>
            <a:gd name="connsiteY15" fmla="*/ 2352675 h 2647950"/>
            <a:gd name="connsiteX16" fmla="*/ 1095375 w 1400175"/>
            <a:gd name="connsiteY16" fmla="*/ 485775 h 2647950"/>
            <a:gd name="connsiteX17" fmla="*/ 1171575 w 1400175"/>
            <a:gd name="connsiteY17" fmla="*/ 247650 h 2647950"/>
            <a:gd name="connsiteX18" fmla="*/ 1400175 w 1400175"/>
            <a:gd name="connsiteY18" fmla="*/ 0 h 2647950"/>
            <a:gd name="connsiteX0" fmla="*/ 9525 w 1400175"/>
            <a:gd name="connsiteY0" fmla="*/ 2647950 h 2647950"/>
            <a:gd name="connsiteX1" fmla="*/ 0 w 1400175"/>
            <a:gd name="connsiteY1" fmla="*/ 1409700 h 2647950"/>
            <a:gd name="connsiteX2" fmla="*/ 76200 w 1400175"/>
            <a:gd name="connsiteY2" fmla="*/ 1047750 h 2647950"/>
            <a:gd name="connsiteX3" fmla="*/ 247650 w 1400175"/>
            <a:gd name="connsiteY3" fmla="*/ 762000 h 2647950"/>
            <a:gd name="connsiteX4" fmla="*/ 647700 w 1400175"/>
            <a:gd name="connsiteY4" fmla="*/ 438150 h 2647950"/>
            <a:gd name="connsiteX5" fmla="*/ 781050 w 1400175"/>
            <a:gd name="connsiteY5" fmla="*/ 361950 h 2647950"/>
            <a:gd name="connsiteX6" fmla="*/ 781050 w 1400175"/>
            <a:gd name="connsiteY6" fmla="*/ 361950 h 2647950"/>
            <a:gd name="connsiteX7" fmla="*/ 857250 w 1400175"/>
            <a:gd name="connsiteY7" fmla="*/ 361950 h 2647950"/>
            <a:gd name="connsiteX8" fmla="*/ 847725 w 1400175"/>
            <a:gd name="connsiteY8" fmla="*/ 457200 h 2647950"/>
            <a:gd name="connsiteX9" fmla="*/ 638175 w 1400175"/>
            <a:gd name="connsiteY9" fmla="*/ 581025 h 2647950"/>
            <a:gd name="connsiteX10" fmla="*/ 381000 w 1400175"/>
            <a:gd name="connsiteY10" fmla="*/ 828675 h 2647950"/>
            <a:gd name="connsiteX11" fmla="*/ 295275 w 1400175"/>
            <a:gd name="connsiteY11" fmla="*/ 990600 h 2647950"/>
            <a:gd name="connsiteX12" fmla="*/ 228600 w 1400175"/>
            <a:gd name="connsiteY12" fmla="*/ 1114425 h 2647950"/>
            <a:gd name="connsiteX13" fmla="*/ 152400 w 1400175"/>
            <a:gd name="connsiteY13" fmla="*/ 1409700 h 2647950"/>
            <a:gd name="connsiteX14" fmla="*/ 171450 w 1400175"/>
            <a:gd name="connsiteY14" fmla="*/ 2352675 h 2647950"/>
            <a:gd name="connsiteX15" fmla="*/ 1114425 w 1400175"/>
            <a:gd name="connsiteY15" fmla="*/ 2352675 h 2647950"/>
            <a:gd name="connsiteX16" fmla="*/ 1095375 w 1400175"/>
            <a:gd name="connsiteY16" fmla="*/ 485775 h 2647950"/>
            <a:gd name="connsiteX17" fmla="*/ 1171575 w 1400175"/>
            <a:gd name="connsiteY17" fmla="*/ 247650 h 2647950"/>
            <a:gd name="connsiteX18" fmla="*/ 1400175 w 1400175"/>
            <a:gd name="connsiteY18" fmla="*/ 0 h 2647950"/>
            <a:gd name="connsiteX0" fmla="*/ 9525 w 1400175"/>
            <a:gd name="connsiteY0" fmla="*/ 2647950 h 2647950"/>
            <a:gd name="connsiteX1" fmla="*/ 0 w 1400175"/>
            <a:gd name="connsiteY1" fmla="*/ 1409700 h 2647950"/>
            <a:gd name="connsiteX2" fmla="*/ 76200 w 1400175"/>
            <a:gd name="connsiteY2" fmla="*/ 1047750 h 2647950"/>
            <a:gd name="connsiteX3" fmla="*/ 247650 w 1400175"/>
            <a:gd name="connsiteY3" fmla="*/ 762000 h 2647950"/>
            <a:gd name="connsiteX4" fmla="*/ 647700 w 1400175"/>
            <a:gd name="connsiteY4" fmla="*/ 438150 h 2647950"/>
            <a:gd name="connsiteX5" fmla="*/ 781050 w 1400175"/>
            <a:gd name="connsiteY5" fmla="*/ 361950 h 2647950"/>
            <a:gd name="connsiteX6" fmla="*/ 781050 w 1400175"/>
            <a:gd name="connsiteY6" fmla="*/ 361950 h 2647950"/>
            <a:gd name="connsiteX7" fmla="*/ 857250 w 1400175"/>
            <a:gd name="connsiteY7" fmla="*/ 361950 h 2647950"/>
            <a:gd name="connsiteX8" fmla="*/ 847725 w 1400175"/>
            <a:gd name="connsiteY8" fmla="*/ 457200 h 2647950"/>
            <a:gd name="connsiteX9" fmla="*/ 638175 w 1400175"/>
            <a:gd name="connsiteY9" fmla="*/ 581025 h 2647950"/>
            <a:gd name="connsiteX10" fmla="*/ 381000 w 1400175"/>
            <a:gd name="connsiteY10" fmla="*/ 828675 h 2647950"/>
            <a:gd name="connsiteX11" fmla="*/ 295275 w 1400175"/>
            <a:gd name="connsiteY11" fmla="*/ 990600 h 2647950"/>
            <a:gd name="connsiteX12" fmla="*/ 228600 w 1400175"/>
            <a:gd name="connsiteY12" fmla="*/ 1114425 h 2647950"/>
            <a:gd name="connsiteX13" fmla="*/ 152400 w 1400175"/>
            <a:gd name="connsiteY13" fmla="*/ 1409700 h 2647950"/>
            <a:gd name="connsiteX14" fmla="*/ 171450 w 1400175"/>
            <a:gd name="connsiteY14" fmla="*/ 2352675 h 2647950"/>
            <a:gd name="connsiteX15" fmla="*/ 1114425 w 1400175"/>
            <a:gd name="connsiteY15" fmla="*/ 2352675 h 2647950"/>
            <a:gd name="connsiteX16" fmla="*/ 1095375 w 1400175"/>
            <a:gd name="connsiteY16" fmla="*/ 485775 h 2647950"/>
            <a:gd name="connsiteX17" fmla="*/ 1171575 w 1400175"/>
            <a:gd name="connsiteY17" fmla="*/ 247650 h 2647950"/>
            <a:gd name="connsiteX18" fmla="*/ 1400175 w 1400175"/>
            <a:gd name="connsiteY18" fmla="*/ 0 h 2647950"/>
            <a:gd name="connsiteX0" fmla="*/ 13181 w 1403831"/>
            <a:gd name="connsiteY0" fmla="*/ 2647950 h 2647950"/>
            <a:gd name="connsiteX1" fmla="*/ 3656 w 1403831"/>
            <a:gd name="connsiteY1" fmla="*/ 1409700 h 2647950"/>
            <a:gd name="connsiteX2" fmla="*/ 79856 w 1403831"/>
            <a:gd name="connsiteY2" fmla="*/ 1047750 h 2647950"/>
            <a:gd name="connsiteX3" fmla="*/ 251306 w 1403831"/>
            <a:gd name="connsiteY3" fmla="*/ 762000 h 2647950"/>
            <a:gd name="connsiteX4" fmla="*/ 651356 w 1403831"/>
            <a:gd name="connsiteY4" fmla="*/ 438150 h 2647950"/>
            <a:gd name="connsiteX5" fmla="*/ 784706 w 1403831"/>
            <a:gd name="connsiteY5" fmla="*/ 361950 h 2647950"/>
            <a:gd name="connsiteX6" fmla="*/ 784706 w 1403831"/>
            <a:gd name="connsiteY6" fmla="*/ 361950 h 2647950"/>
            <a:gd name="connsiteX7" fmla="*/ 860906 w 1403831"/>
            <a:gd name="connsiteY7" fmla="*/ 361950 h 2647950"/>
            <a:gd name="connsiteX8" fmla="*/ 851381 w 1403831"/>
            <a:gd name="connsiteY8" fmla="*/ 457200 h 2647950"/>
            <a:gd name="connsiteX9" fmla="*/ 641831 w 1403831"/>
            <a:gd name="connsiteY9" fmla="*/ 581025 h 2647950"/>
            <a:gd name="connsiteX10" fmla="*/ 384656 w 1403831"/>
            <a:gd name="connsiteY10" fmla="*/ 828675 h 2647950"/>
            <a:gd name="connsiteX11" fmla="*/ 298931 w 1403831"/>
            <a:gd name="connsiteY11" fmla="*/ 990600 h 2647950"/>
            <a:gd name="connsiteX12" fmla="*/ 232256 w 1403831"/>
            <a:gd name="connsiteY12" fmla="*/ 1114425 h 2647950"/>
            <a:gd name="connsiteX13" fmla="*/ 156056 w 1403831"/>
            <a:gd name="connsiteY13" fmla="*/ 1409700 h 2647950"/>
            <a:gd name="connsiteX14" fmla="*/ 175106 w 1403831"/>
            <a:gd name="connsiteY14" fmla="*/ 2352675 h 2647950"/>
            <a:gd name="connsiteX15" fmla="*/ 1118081 w 1403831"/>
            <a:gd name="connsiteY15" fmla="*/ 2352675 h 2647950"/>
            <a:gd name="connsiteX16" fmla="*/ 1099031 w 1403831"/>
            <a:gd name="connsiteY16" fmla="*/ 485775 h 2647950"/>
            <a:gd name="connsiteX17" fmla="*/ 1175231 w 1403831"/>
            <a:gd name="connsiteY17" fmla="*/ 247650 h 2647950"/>
            <a:gd name="connsiteX18" fmla="*/ 1403831 w 1403831"/>
            <a:gd name="connsiteY18" fmla="*/ 0 h 2647950"/>
            <a:gd name="connsiteX0" fmla="*/ 13181 w 1403831"/>
            <a:gd name="connsiteY0" fmla="*/ 2647950 h 2647950"/>
            <a:gd name="connsiteX1" fmla="*/ 3656 w 1403831"/>
            <a:gd name="connsiteY1" fmla="*/ 1409700 h 2647950"/>
            <a:gd name="connsiteX2" fmla="*/ 79856 w 1403831"/>
            <a:gd name="connsiteY2" fmla="*/ 1047750 h 2647950"/>
            <a:gd name="connsiteX3" fmla="*/ 251306 w 1403831"/>
            <a:gd name="connsiteY3" fmla="*/ 762000 h 2647950"/>
            <a:gd name="connsiteX4" fmla="*/ 651356 w 1403831"/>
            <a:gd name="connsiteY4" fmla="*/ 438150 h 2647950"/>
            <a:gd name="connsiteX5" fmla="*/ 784706 w 1403831"/>
            <a:gd name="connsiteY5" fmla="*/ 361950 h 2647950"/>
            <a:gd name="connsiteX6" fmla="*/ 784706 w 1403831"/>
            <a:gd name="connsiteY6" fmla="*/ 361950 h 2647950"/>
            <a:gd name="connsiteX7" fmla="*/ 860906 w 1403831"/>
            <a:gd name="connsiteY7" fmla="*/ 361950 h 2647950"/>
            <a:gd name="connsiteX8" fmla="*/ 851381 w 1403831"/>
            <a:gd name="connsiteY8" fmla="*/ 457200 h 2647950"/>
            <a:gd name="connsiteX9" fmla="*/ 641831 w 1403831"/>
            <a:gd name="connsiteY9" fmla="*/ 581025 h 2647950"/>
            <a:gd name="connsiteX10" fmla="*/ 384656 w 1403831"/>
            <a:gd name="connsiteY10" fmla="*/ 828675 h 2647950"/>
            <a:gd name="connsiteX11" fmla="*/ 298931 w 1403831"/>
            <a:gd name="connsiteY11" fmla="*/ 990600 h 2647950"/>
            <a:gd name="connsiteX12" fmla="*/ 232256 w 1403831"/>
            <a:gd name="connsiteY12" fmla="*/ 1114425 h 2647950"/>
            <a:gd name="connsiteX13" fmla="*/ 156056 w 1403831"/>
            <a:gd name="connsiteY13" fmla="*/ 1409700 h 2647950"/>
            <a:gd name="connsiteX14" fmla="*/ 175106 w 1403831"/>
            <a:gd name="connsiteY14" fmla="*/ 2352675 h 2647950"/>
            <a:gd name="connsiteX15" fmla="*/ 1118081 w 1403831"/>
            <a:gd name="connsiteY15" fmla="*/ 2352675 h 2647950"/>
            <a:gd name="connsiteX16" fmla="*/ 1099031 w 1403831"/>
            <a:gd name="connsiteY16" fmla="*/ 485775 h 2647950"/>
            <a:gd name="connsiteX17" fmla="*/ 1175231 w 1403831"/>
            <a:gd name="connsiteY17" fmla="*/ 247650 h 2647950"/>
            <a:gd name="connsiteX18" fmla="*/ 1403831 w 1403831"/>
            <a:gd name="connsiteY18" fmla="*/ 0 h 2647950"/>
            <a:gd name="connsiteX0" fmla="*/ 13181 w 1403831"/>
            <a:gd name="connsiteY0" fmla="*/ 2647950 h 2647950"/>
            <a:gd name="connsiteX1" fmla="*/ 3656 w 1403831"/>
            <a:gd name="connsiteY1" fmla="*/ 1409700 h 2647950"/>
            <a:gd name="connsiteX2" fmla="*/ 79856 w 1403831"/>
            <a:gd name="connsiteY2" fmla="*/ 1047750 h 2647950"/>
            <a:gd name="connsiteX3" fmla="*/ 251306 w 1403831"/>
            <a:gd name="connsiteY3" fmla="*/ 762000 h 2647950"/>
            <a:gd name="connsiteX4" fmla="*/ 651356 w 1403831"/>
            <a:gd name="connsiteY4" fmla="*/ 438150 h 2647950"/>
            <a:gd name="connsiteX5" fmla="*/ 784706 w 1403831"/>
            <a:gd name="connsiteY5" fmla="*/ 361950 h 2647950"/>
            <a:gd name="connsiteX6" fmla="*/ 784706 w 1403831"/>
            <a:gd name="connsiteY6" fmla="*/ 361950 h 2647950"/>
            <a:gd name="connsiteX7" fmla="*/ 860906 w 1403831"/>
            <a:gd name="connsiteY7" fmla="*/ 361950 h 2647950"/>
            <a:gd name="connsiteX8" fmla="*/ 851381 w 1403831"/>
            <a:gd name="connsiteY8" fmla="*/ 457200 h 2647950"/>
            <a:gd name="connsiteX9" fmla="*/ 641831 w 1403831"/>
            <a:gd name="connsiteY9" fmla="*/ 581025 h 2647950"/>
            <a:gd name="connsiteX10" fmla="*/ 384656 w 1403831"/>
            <a:gd name="connsiteY10" fmla="*/ 828675 h 2647950"/>
            <a:gd name="connsiteX11" fmla="*/ 298931 w 1403831"/>
            <a:gd name="connsiteY11" fmla="*/ 990600 h 2647950"/>
            <a:gd name="connsiteX12" fmla="*/ 232256 w 1403831"/>
            <a:gd name="connsiteY12" fmla="*/ 1114425 h 2647950"/>
            <a:gd name="connsiteX13" fmla="*/ 156056 w 1403831"/>
            <a:gd name="connsiteY13" fmla="*/ 1409700 h 2647950"/>
            <a:gd name="connsiteX14" fmla="*/ 175106 w 1403831"/>
            <a:gd name="connsiteY14" fmla="*/ 2352675 h 2647950"/>
            <a:gd name="connsiteX15" fmla="*/ 1118081 w 1403831"/>
            <a:gd name="connsiteY15" fmla="*/ 2352675 h 2647950"/>
            <a:gd name="connsiteX16" fmla="*/ 1099031 w 1403831"/>
            <a:gd name="connsiteY16" fmla="*/ 485775 h 2647950"/>
            <a:gd name="connsiteX17" fmla="*/ 1175231 w 1403831"/>
            <a:gd name="connsiteY17" fmla="*/ 247650 h 2647950"/>
            <a:gd name="connsiteX18" fmla="*/ 1403831 w 1403831"/>
            <a:gd name="connsiteY18" fmla="*/ 0 h 2647950"/>
            <a:gd name="connsiteX0" fmla="*/ 13181 w 1403831"/>
            <a:gd name="connsiteY0" fmla="*/ 2647950 h 2647950"/>
            <a:gd name="connsiteX1" fmla="*/ 3656 w 1403831"/>
            <a:gd name="connsiteY1" fmla="*/ 1409700 h 2647950"/>
            <a:gd name="connsiteX2" fmla="*/ 79856 w 1403831"/>
            <a:gd name="connsiteY2" fmla="*/ 1047750 h 2647950"/>
            <a:gd name="connsiteX3" fmla="*/ 251306 w 1403831"/>
            <a:gd name="connsiteY3" fmla="*/ 762000 h 2647950"/>
            <a:gd name="connsiteX4" fmla="*/ 651356 w 1403831"/>
            <a:gd name="connsiteY4" fmla="*/ 438150 h 2647950"/>
            <a:gd name="connsiteX5" fmla="*/ 784706 w 1403831"/>
            <a:gd name="connsiteY5" fmla="*/ 361950 h 2647950"/>
            <a:gd name="connsiteX6" fmla="*/ 784706 w 1403831"/>
            <a:gd name="connsiteY6" fmla="*/ 361950 h 2647950"/>
            <a:gd name="connsiteX7" fmla="*/ 860906 w 1403831"/>
            <a:gd name="connsiteY7" fmla="*/ 361950 h 2647950"/>
            <a:gd name="connsiteX8" fmla="*/ 851381 w 1403831"/>
            <a:gd name="connsiteY8" fmla="*/ 457200 h 2647950"/>
            <a:gd name="connsiteX9" fmla="*/ 641831 w 1403831"/>
            <a:gd name="connsiteY9" fmla="*/ 581025 h 2647950"/>
            <a:gd name="connsiteX10" fmla="*/ 384656 w 1403831"/>
            <a:gd name="connsiteY10" fmla="*/ 828675 h 2647950"/>
            <a:gd name="connsiteX11" fmla="*/ 298931 w 1403831"/>
            <a:gd name="connsiteY11" fmla="*/ 990600 h 2647950"/>
            <a:gd name="connsiteX12" fmla="*/ 232256 w 1403831"/>
            <a:gd name="connsiteY12" fmla="*/ 1114425 h 2647950"/>
            <a:gd name="connsiteX13" fmla="*/ 156056 w 1403831"/>
            <a:gd name="connsiteY13" fmla="*/ 1409700 h 2647950"/>
            <a:gd name="connsiteX14" fmla="*/ 175106 w 1403831"/>
            <a:gd name="connsiteY14" fmla="*/ 2352675 h 2647950"/>
            <a:gd name="connsiteX15" fmla="*/ 1118081 w 1403831"/>
            <a:gd name="connsiteY15" fmla="*/ 2352675 h 2647950"/>
            <a:gd name="connsiteX16" fmla="*/ 1099031 w 1403831"/>
            <a:gd name="connsiteY16" fmla="*/ 485775 h 2647950"/>
            <a:gd name="connsiteX17" fmla="*/ 1175231 w 1403831"/>
            <a:gd name="connsiteY17" fmla="*/ 247650 h 2647950"/>
            <a:gd name="connsiteX18" fmla="*/ 1403831 w 1403831"/>
            <a:gd name="connsiteY18" fmla="*/ 0 h 2647950"/>
            <a:gd name="connsiteX0" fmla="*/ 13181 w 1403831"/>
            <a:gd name="connsiteY0" fmla="*/ 2647950 h 2647950"/>
            <a:gd name="connsiteX1" fmla="*/ 3656 w 1403831"/>
            <a:gd name="connsiteY1" fmla="*/ 1409700 h 2647950"/>
            <a:gd name="connsiteX2" fmla="*/ 79856 w 1403831"/>
            <a:gd name="connsiteY2" fmla="*/ 1047750 h 2647950"/>
            <a:gd name="connsiteX3" fmla="*/ 251306 w 1403831"/>
            <a:gd name="connsiteY3" fmla="*/ 762000 h 2647950"/>
            <a:gd name="connsiteX4" fmla="*/ 651356 w 1403831"/>
            <a:gd name="connsiteY4" fmla="*/ 438150 h 2647950"/>
            <a:gd name="connsiteX5" fmla="*/ 784706 w 1403831"/>
            <a:gd name="connsiteY5" fmla="*/ 361950 h 2647950"/>
            <a:gd name="connsiteX6" fmla="*/ 784706 w 1403831"/>
            <a:gd name="connsiteY6" fmla="*/ 361950 h 2647950"/>
            <a:gd name="connsiteX7" fmla="*/ 860906 w 1403831"/>
            <a:gd name="connsiteY7" fmla="*/ 361950 h 2647950"/>
            <a:gd name="connsiteX8" fmla="*/ 851381 w 1403831"/>
            <a:gd name="connsiteY8" fmla="*/ 457200 h 2647950"/>
            <a:gd name="connsiteX9" fmla="*/ 641831 w 1403831"/>
            <a:gd name="connsiteY9" fmla="*/ 581025 h 2647950"/>
            <a:gd name="connsiteX10" fmla="*/ 384656 w 1403831"/>
            <a:gd name="connsiteY10" fmla="*/ 828675 h 2647950"/>
            <a:gd name="connsiteX11" fmla="*/ 298931 w 1403831"/>
            <a:gd name="connsiteY11" fmla="*/ 990600 h 2647950"/>
            <a:gd name="connsiteX12" fmla="*/ 232256 w 1403831"/>
            <a:gd name="connsiteY12" fmla="*/ 1114425 h 2647950"/>
            <a:gd name="connsiteX13" fmla="*/ 156056 w 1403831"/>
            <a:gd name="connsiteY13" fmla="*/ 1409700 h 2647950"/>
            <a:gd name="connsiteX14" fmla="*/ 175106 w 1403831"/>
            <a:gd name="connsiteY14" fmla="*/ 2352675 h 2647950"/>
            <a:gd name="connsiteX15" fmla="*/ 1118081 w 1403831"/>
            <a:gd name="connsiteY15" fmla="*/ 2352675 h 2647950"/>
            <a:gd name="connsiteX16" fmla="*/ 1099031 w 1403831"/>
            <a:gd name="connsiteY16" fmla="*/ 485775 h 2647950"/>
            <a:gd name="connsiteX17" fmla="*/ 1175231 w 1403831"/>
            <a:gd name="connsiteY17" fmla="*/ 247650 h 2647950"/>
            <a:gd name="connsiteX18" fmla="*/ 1403831 w 1403831"/>
            <a:gd name="connsiteY18" fmla="*/ 0 h 2647950"/>
            <a:gd name="connsiteX0" fmla="*/ 13181 w 1403831"/>
            <a:gd name="connsiteY0" fmla="*/ 2647950 h 2647950"/>
            <a:gd name="connsiteX1" fmla="*/ 3656 w 1403831"/>
            <a:gd name="connsiteY1" fmla="*/ 1409700 h 2647950"/>
            <a:gd name="connsiteX2" fmla="*/ 79856 w 1403831"/>
            <a:gd name="connsiteY2" fmla="*/ 1047750 h 2647950"/>
            <a:gd name="connsiteX3" fmla="*/ 251306 w 1403831"/>
            <a:gd name="connsiteY3" fmla="*/ 762000 h 2647950"/>
            <a:gd name="connsiteX4" fmla="*/ 651356 w 1403831"/>
            <a:gd name="connsiteY4" fmla="*/ 438150 h 2647950"/>
            <a:gd name="connsiteX5" fmla="*/ 784706 w 1403831"/>
            <a:gd name="connsiteY5" fmla="*/ 361950 h 2647950"/>
            <a:gd name="connsiteX6" fmla="*/ 784706 w 1403831"/>
            <a:gd name="connsiteY6" fmla="*/ 361950 h 2647950"/>
            <a:gd name="connsiteX7" fmla="*/ 860906 w 1403831"/>
            <a:gd name="connsiteY7" fmla="*/ 361950 h 2647950"/>
            <a:gd name="connsiteX8" fmla="*/ 851381 w 1403831"/>
            <a:gd name="connsiteY8" fmla="*/ 457200 h 2647950"/>
            <a:gd name="connsiteX9" fmla="*/ 641831 w 1403831"/>
            <a:gd name="connsiteY9" fmla="*/ 581025 h 2647950"/>
            <a:gd name="connsiteX10" fmla="*/ 384656 w 1403831"/>
            <a:gd name="connsiteY10" fmla="*/ 828675 h 2647950"/>
            <a:gd name="connsiteX11" fmla="*/ 298931 w 1403831"/>
            <a:gd name="connsiteY11" fmla="*/ 990600 h 2647950"/>
            <a:gd name="connsiteX12" fmla="*/ 232256 w 1403831"/>
            <a:gd name="connsiteY12" fmla="*/ 1114425 h 2647950"/>
            <a:gd name="connsiteX13" fmla="*/ 156056 w 1403831"/>
            <a:gd name="connsiteY13" fmla="*/ 1409700 h 2647950"/>
            <a:gd name="connsiteX14" fmla="*/ 175106 w 1403831"/>
            <a:gd name="connsiteY14" fmla="*/ 2352675 h 2647950"/>
            <a:gd name="connsiteX15" fmla="*/ 1118081 w 1403831"/>
            <a:gd name="connsiteY15" fmla="*/ 2352675 h 2647950"/>
            <a:gd name="connsiteX16" fmla="*/ 1099031 w 1403831"/>
            <a:gd name="connsiteY16" fmla="*/ 485775 h 2647950"/>
            <a:gd name="connsiteX17" fmla="*/ 1175231 w 1403831"/>
            <a:gd name="connsiteY17" fmla="*/ 247650 h 2647950"/>
            <a:gd name="connsiteX18" fmla="*/ 1403831 w 1403831"/>
            <a:gd name="connsiteY18" fmla="*/ 0 h 2647950"/>
            <a:gd name="connsiteX0" fmla="*/ 13181 w 1403831"/>
            <a:gd name="connsiteY0" fmla="*/ 2647950 h 2647950"/>
            <a:gd name="connsiteX1" fmla="*/ 3656 w 1403831"/>
            <a:gd name="connsiteY1" fmla="*/ 1409700 h 2647950"/>
            <a:gd name="connsiteX2" fmla="*/ 79856 w 1403831"/>
            <a:gd name="connsiteY2" fmla="*/ 1047750 h 2647950"/>
            <a:gd name="connsiteX3" fmla="*/ 251306 w 1403831"/>
            <a:gd name="connsiteY3" fmla="*/ 762000 h 2647950"/>
            <a:gd name="connsiteX4" fmla="*/ 651356 w 1403831"/>
            <a:gd name="connsiteY4" fmla="*/ 438150 h 2647950"/>
            <a:gd name="connsiteX5" fmla="*/ 784706 w 1403831"/>
            <a:gd name="connsiteY5" fmla="*/ 361950 h 2647950"/>
            <a:gd name="connsiteX6" fmla="*/ 784706 w 1403831"/>
            <a:gd name="connsiteY6" fmla="*/ 361950 h 2647950"/>
            <a:gd name="connsiteX7" fmla="*/ 860906 w 1403831"/>
            <a:gd name="connsiteY7" fmla="*/ 361950 h 2647950"/>
            <a:gd name="connsiteX8" fmla="*/ 851381 w 1403831"/>
            <a:gd name="connsiteY8" fmla="*/ 457200 h 2647950"/>
            <a:gd name="connsiteX9" fmla="*/ 641831 w 1403831"/>
            <a:gd name="connsiteY9" fmla="*/ 581025 h 2647950"/>
            <a:gd name="connsiteX10" fmla="*/ 384656 w 1403831"/>
            <a:gd name="connsiteY10" fmla="*/ 828675 h 2647950"/>
            <a:gd name="connsiteX11" fmla="*/ 232256 w 1403831"/>
            <a:gd name="connsiteY11" fmla="*/ 1114425 h 2647950"/>
            <a:gd name="connsiteX12" fmla="*/ 156056 w 1403831"/>
            <a:gd name="connsiteY12" fmla="*/ 1409700 h 2647950"/>
            <a:gd name="connsiteX13" fmla="*/ 175106 w 1403831"/>
            <a:gd name="connsiteY13" fmla="*/ 2352675 h 2647950"/>
            <a:gd name="connsiteX14" fmla="*/ 1118081 w 1403831"/>
            <a:gd name="connsiteY14" fmla="*/ 2352675 h 2647950"/>
            <a:gd name="connsiteX15" fmla="*/ 1099031 w 1403831"/>
            <a:gd name="connsiteY15" fmla="*/ 485775 h 2647950"/>
            <a:gd name="connsiteX16" fmla="*/ 1175231 w 1403831"/>
            <a:gd name="connsiteY16" fmla="*/ 247650 h 2647950"/>
            <a:gd name="connsiteX17" fmla="*/ 1403831 w 1403831"/>
            <a:gd name="connsiteY17" fmla="*/ 0 h 2647950"/>
            <a:gd name="connsiteX0" fmla="*/ 13181 w 1403831"/>
            <a:gd name="connsiteY0" fmla="*/ 2647950 h 2647950"/>
            <a:gd name="connsiteX1" fmla="*/ 3656 w 1403831"/>
            <a:gd name="connsiteY1" fmla="*/ 1409700 h 2647950"/>
            <a:gd name="connsiteX2" fmla="*/ 79856 w 1403831"/>
            <a:gd name="connsiteY2" fmla="*/ 1047750 h 2647950"/>
            <a:gd name="connsiteX3" fmla="*/ 251306 w 1403831"/>
            <a:gd name="connsiteY3" fmla="*/ 762000 h 2647950"/>
            <a:gd name="connsiteX4" fmla="*/ 651356 w 1403831"/>
            <a:gd name="connsiteY4" fmla="*/ 438150 h 2647950"/>
            <a:gd name="connsiteX5" fmla="*/ 784706 w 1403831"/>
            <a:gd name="connsiteY5" fmla="*/ 361950 h 2647950"/>
            <a:gd name="connsiteX6" fmla="*/ 784706 w 1403831"/>
            <a:gd name="connsiteY6" fmla="*/ 361950 h 2647950"/>
            <a:gd name="connsiteX7" fmla="*/ 860906 w 1403831"/>
            <a:gd name="connsiteY7" fmla="*/ 361950 h 2647950"/>
            <a:gd name="connsiteX8" fmla="*/ 851381 w 1403831"/>
            <a:gd name="connsiteY8" fmla="*/ 457200 h 2647950"/>
            <a:gd name="connsiteX9" fmla="*/ 641831 w 1403831"/>
            <a:gd name="connsiteY9" fmla="*/ 581025 h 2647950"/>
            <a:gd name="connsiteX10" fmla="*/ 384656 w 1403831"/>
            <a:gd name="connsiteY10" fmla="*/ 828675 h 2647950"/>
            <a:gd name="connsiteX11" fmla="*/ 232256 w 1403831"/>
            <a:gd name="connsiteY11" fmla="*/ 1114425 h 2647950"/>
            <a:gd name="connsiteX12" fmla="*/ 156056 w 1403831"/>
            <a:gd name="connsiteY12" fmla="*/ 1409700 h 2647950"/>
            <a:gd name="connsiteX13" fmla="*/ 175106 w 1403831"/>
            <a:gd name="connsiteY13" fmla="*/ 2352675 h 2647950"/>
            <a:gd name="connsiteX14" fmla="*/ 1118081 w 1403831"/>
            <a:gd name="connsiteY14" fmla="*/ 2352675 h 2647950"/>
            <a:gd name="connsiteX15" fmla="*/ 1099031 w 1403831"/>
            <a:gd name="connsiteY15" fmla="*/ 485775 h 2647950"/>
            <a:gd name="connsiteX16" fmla="*/ 1175231 w 1403831"/>
            <a:gd name="connsiteY16" fmla="*/ 247650 h 2647950"/>
            <a:gd name="connsiteX17" fmla="*/ 1403831 w 1403831"/>
            <a:gd name="connsiteY17" fmla="*/ 0 h 2647950"/>
            <a:gd name="connsiteX0" fmla="*/ 13181 w 1403831"/>
            <a:gd name="connsiteY0" fmla="*/ 2647950 h 2647950"/>
            <a:gd name="connsiteX1" fmla="*/ 3656 w 1403831"/>
            <a:gd name="connsiteY1" fmla="*/ 1409700 h 2647950"/>
            <a:gd name="connsiteX2" fmla="*/ 79856 w 1403831"/>
            <a:gd name="connsiteY2" fmla="*/ 1047750 h 2647950"/>
            <a:gd name="connsiteX3" fmla="*/ 251306 w 1403831"/>
            <a:gd name="connsiteY3" fmla="*/ 762000 h 2647950"/>
            <a:gd name="connsiteX4" fmla="*/ 651356 w 1403831"/>
            <a:gd name="connsiteY4" fmla="*/ 438150 h 2647950"/>
            <a:gd name="connsiteX5" fmla="*/ 784706 w 1403831"/>
            <a:gd name="connsiteY5" fmla="*/ 361950 h 2647950"/>
            <a:gd name="connsiteX6" fmla="*/ 784706 w 1403831"/>
            <a:gd name="connsiteY6" fmla="*/ 361950 h 2647950"/>
            <a:gd name="connsiteX7" fmla="*/ 860906 w 1403831"/>
            <a:gd name="connsiteY7" fmla="*/ 361950 h 2647950"/>
            <a:gd name="connsiteX8" fmla="*/ 851381 w 1403831"/>
            <a:gd name="connsiteY8" fmla="*/ 457200 h 2647950"/>
            <a:gd name="connsiteX9" fmla="*/ 641831 w 1403831"/>
            <a:gd name="connsiteY9" fmla="*/ 581025 h 2647950"/>
            <a:gd name="connsiteX10" fmla="*/ 384656 w 1403831"/>
            <a:gd name="connsiteY10" fmla="*/ 828675 h 2647950"/>
            <a:gd name="connsiteX11" fmla="*/ 232256 w 1403831"/>
            <a:gd name="connsiteY11" fmla="*/ 1114425 h 2647950"/>
            <a:gd name="connsiteX12" fmla="*/ 156056 w 1403831"/>
            <a:gd name="connsiteY12" fmla="*/ 1409700 h 2647950"/>
            <a:gd name="connsiteX13" fmla="*/ 175106 w 1403831"/>
            <a:gd name="connsiteY13" fmla="*/ 2352675 h 2647950"/>
            <a:gd name="connsiteX14" fmla="*/ 1118081 w 1403831"/>
            <a:gd name="connsiteY14" fmla="*/ 2352675 h 2647950"/>
            <a:gd name="connsiteX15" fmla="*/ 1099031 w 1403831"/>
            <a:gd name="connsiteY15" fmla="*/ 485775 h 2647950"/>
            <a:gd name="connsiteX16" fmla="*/ 1100797 w 1403831"/>
            <a:gd name="connsiteY16" fmla="*/ 330477 h 2647950"/>
            <a:gd name="connsiteX17" fmla="*/ 1403831 w 1403831"/>
            <a:gd name="connsiteY17" fmla="*/ 0 h 2647950"/>
            <a:gd name="connsiteX0" fmla="*/ 13181 w 1118081"/>
            <a:gd name="connsiteY0" fmla="*/ 2317473 h 2317473"/>
            <a:gd name="connsiteX1" fmla="*/ 3656 w 1118081"/>
            <a:gd name="connsiteY1" fmla="*/ 1079223 h 2317473"/>
            <a:gd name="connsiteX2" fmla="*/ 79856 w 1118081"/>
            <a:gd name="connsiteY2" fmla="*/ 717273 h 2317473"/>
            <a:gd name="connsiteX3" fmla="*/ 251306 w 1118081"/>
            <a:gd name="connsiteY3" fmla="*/ 431523 h 2317473"/>
            <a:gd name="connsiteX4" fmla="*/ 651356 w 1118081"/>
            <a:gd name="connsiteY4" fmla="*/ 107673 h 2317473"/>
            <a:gd name="connsiteX5" fmla="*/ 784706 w 1118081"/>
            <a:gd name="connsiteY5" fmla="*/ 31473 h 2317473"/>
            <a:gd name="connsiteX6" fmla="*/ 784706 w 1118081"/>
            <a:gd name="connsiteY6" fmla="*/ 31473 h 2317473"/>
            <a:gd name="connsiteX7" fmla="*/ 860906 w 1118081"/>
            <a:gd name="connsiteY7" fmla="*/ 31473 h 2317473"/>
            <a:gd name="connsiteX8" fmla="*/ 851381 w 1118081"/>
            <a:gd name="connsiteY8" fmla="*/ 126723 h 2317473"/>
            <a:gd name="connsiteX9" fmla="*/ 641831 w 1118081"/>
            <a:gd name="connsiteY9" fmla="*/ 250548 h 2317473"/>
            <a:gd name="connsiteX10" fmla="*/ 384656 w 1118081"/>
            <a:gd name="connsiteY10" fmla="*/ 498198 h 2317473"/>
            <a:gd name="connsiteX11" fmla="*/ 232256 w 1118081"/>
            <a:gd name="connsiteY11" fmla="*/ 783948 h 2317473"/>
            <a:gd name="connsiteX12" fmla="*/ 156056 w 1118081"/>
            <a:gd name="connsiteY12" fmla="*/ 1079223 h 2317473"/>
            <a:gd name="connsiteX13" fmla="*/ 175106 w 1118081"/>
            <a:gd name="connsiteY13" fmla="*/ 2022198 h 2317473"/>
            <a:gd name="connsiteX14" fmla="*/ 1118081 w 1118081"/>
            <a:gd name="connsiteY14" fmla="*/ 2022198 h 2317473"/>
            <a:gd name="connsiteX15" fmla="*/ 1099031 w 1118081"/>
            <a:gd name="connsiteY15" fmla="*/ 155298 h 2317473"/>
            <a:gd name="connsiteX16" fmla="*/ 1100797 w 1118081"/>
            <a:gd name="connsiteY16" fmla="*/ 0 h 2317473"/>
            <a:gd name="connsiteX0" fmla="*/ 13181 w 1118081"/>
            <a:gd name="connsiteY0" fmla="*/ 2317473 h 2317473"/>
            <a:gd name="connsiteX1" fmla="*/ 3656 w 1118081"/>
            <a:gd name="connsiteY1" fmla="*/ 1079223 h 2317473"/>
            <a:gd name="connsiteX2" fmla="*/ 79856 w 1118081"/>
            <a:gd name="connsiteY2" fmla="*/ 717273 h 2317473"/>
            <a:gd name="connsiteX3" fmla="*/ 251306 w 1118081"/>
            <a:gd name="connsiteY3" fmla="*/ 431523 h 2317473"/>
            <a:gd name="connsiteX4" fmla="*/ 651356 w 1118081"/>
            <a:gd name="connsiteY4" fmla="*/ 107673 h 2317473"/>
            <a:gd name="connsiteX5" fmla="*/ 784706 w 1118081"/>
            <a:gd name="connsiteY5" fmla="*/ 31473 h 2317473"/>
            <a:gd name="connsiteX6" fmla="*/ 860906 w 1118081"/>
            <a:gd name="connsiteY6" fmla="*/ 31473 h 2317473"/>
            <a:gd name="connsiteX7" fmla="*/ 851381 w 1118081"/>
            <a:gd name="connsiteY7" fmla="*/ 126723 h 2317473"/>
            <a:gd name="connsiteX8" fmla="*/ 641831 w 1118081"/>
            <a:gd name="connsiteY8" fmla="*/ 250548 h 2317473"/>
            <a:gd name="connsiteX9" fmla="*/ 384656 w 1118081"/>
            <a:gd name="connsiteY9" fmla="*/ 498198 h 2317473"/>
            <a:gd name="connsiteX10" fmla="*/ 232256 w 1118081"/>
            <a:gd name="connsiteY10" fmla="*/ 783948 h 2317473"/>
            <a:gd name="connsiteX11" fmla="*/ 156056 w 1118081"/>
            <a:gd name="connsiteY11" fmla="*/ 1079223 h 2317473"/>
            <a:gd name="connsiteX12" fmla="*/ 175106 w 1118081"/>
            <a:gd name="connsiteY12" fmla="*/ 2022198 h 2317473"/>
            <a:gd name="connsiteX13" fmla="*/ 1118081 w 1118081"/>
            <a:gd name="connsiteY13" fmla="*/ 2022198 h 2317473"/>
            <a:gd name="connsiteX14" fmla="*/ 1099031 w 1118081"/>
            <a:gd name="connsiteY14" fmla="*/ 155298 h 2317473"/>
            <a:gd name="connsiteX15" fmla="*/ 1100797 w 1118081"/>
            <a:gd name="connsiteY15" fmla="*/ 0 h 2317473"/>
            <a:gd name="connsiteX0" fmla="*/ 13181 w 1118081"/>
            <a:gd name="connsiteY0" fmla="*/ 2317473 h 2317473"/>
            <a:gd name="connsiteX1" fmla="*/ 3656 w 1118081"/>
            <a:gd name="connsiteY1" fmla="*/ 1079223 h 2317473"/>
            <a:gd name="connsiteX2" fmla="*/ 79856 w 1118081"/>
            <a:gd name="connsiteY2" fmla="*/ 717273 h 2317473"/>
            <a:gd name="connsiteX3" fmla="*/ 251306 w 1118081"/>
            <a:gd name="connsiteY3" fmla="*/ 431523 h 2317473"/>
            <a:gd name="connsiteX4" fmla="*/ 784706 w 1118081"/>
            <a:gd name="connsiteY4" fmla="*/ 31473 h 2317473"/>
            <a:gd name="connsiteX5" fmla="*/ 860906 w 1118081"/>
            <a:gd name="connsiteY5" fmla="*/ 31473 h 2317473"/>
            <a:gd name="connsiteX6" fmla="*/ 851381 w 1118081"/>
            <a:gd name="connsiteY6" fmla="*/ 126723 h 2317473"/>
            <a:gd name="connsiteX7" fmla="*/ 641831 w 1118081"/>
            <a:gd name="connsiteY7" fmla="*/ 250548 h 2317473"/>
            <a:gd name="connsiteX8" fmla="*/ 384656 w 1118081"/>
            <a:gd name="connsiteY8" fmla="*/ 498198 h 2317473"/>
            <a:gd name="connsiteX9" fmla="*/ 232256 w 1118081"/>
            <a:gd name="connsiteY9" fmla="*/ 783948 h 2317473"/>
            <a:gd name="connsiteX10" fmla="*/ 156056 w 1118081"/>
            <a:gd name="connsiteY10" fmla="*/ 1079223 h 2317473"/>
            <a:gd name="connsiteX11" fmla="*/ 175106 w 1118081"/>
            <a:gd name="connsiteY11" fmla="*/ 2022198 h 2317473"/>
            <a:gd name="connsiteX12" fmla="*/ 1118081 w 1118081"/>
            <a:gd name="connsiteY12" fmla="*/ 2022198 h 2317473"/>
            <a:gd name="connsiteX13" fmla="*/ 1099031 w 1118081"/>
            <a:gd name="connsiteY13" fmla="*/ 155298 h 2317473"/>
            <a:gd name="connsiteX14" fmla="*/ 1100797 w 1118081"/>
            <a:gd name="connsiteY14" fmla="*/ 0 h 2317473"/>
            <a:gd name="connsiteX0" fmla="*/ 16174 w 1121074"/>
            <a:gd name="connsiteY0" fmla="*/ 2336800 h 2336800"/>
            <a:gd name="connsiteX1" fmla="*/ 6649 w 1121074"/>
            <a:gd name="connsiteY1" fmla="*/ 1098550 h 2336800"/>
            <a:gd name="connsiteX2" fmla="*/ 82849 w 1121074"/>
            <a:gd name="connsiteY2" fmla="*/ 736600 h 2336800"/>
            <a:gd name="connsiteX3" fmla="*/ 787699 w 1121074"/>
            <a:gd name="connsiteY3" fmla="*/ 50800 h 2336800"/>
            <a:gd name="connsiteX4" fmla="*/ 863899 w 1121074"/>
            <a:gd name="connsiteY4" fmla="*/ 50800 h 2336800"/>
            <a:gd name="connsiteX5" fmla="*/ 854374 w 1121074"/>
            <a:gd name="connsiteY5" fmla="*/ 146050 h 2336800"/>
            <a:gd name="connsiteX6" fmla="*/ 644824 w 1121074"/>
            <a:gd name="connsiteY6" fmla="*/ 269875 h 2336800"/>
            <a:gd name="connsiteX7" fmla="*/ 387649 w 1121074"/>
            <a:gd name="connsiteY7" fmla="*/ 517525 h 2336800"/>
            <a:gd name="connsiteX8" fmla="*/ 235249 w 1121074"/>
            <a:gd name="connsiteY8" fmla="*/ 803275 h 2336800"/>
            <a:gd name="connsiteX9" fmla="*/ 159049 w 1121074"/>
            <a:gd name="connsiteY9" fmla="*/ 1098550 h 2336800"/>
            <a:gd name="connsiteX10" fmla="*/ 178099 w 1121074"/>
            <a:gd name="connsiteY10" fmla="*/ 2041525 h 2336800"/>
            <a:gd name="connsiteX11" fmla="*/ 1121074 w 1121074"/>
            <a:gd name="connsiteY11" fmla="*/ 2041525 h 2336800"/>
            <a:gd name="connsiteX12" fmla="*/ 1102024 w 1121074"/>
            <a:gd name="connsiteY12" fmla="*/ 174625 h 2336800"/>
            <a:gd name="connsiteX13" fmla="*/ 1103790 w 1121074"/>
            <a:gd name="connsiteY13" fmla="*/ 19327 h 2336800"/>
            <a:gd name="connsiteX0" fmla="*/ 64967 w 1169867"/>
            <a:gd name="connsiteY0" fmla="*/ 2363611 h 2363611"/>
            <a:gd name="connsiteX1" fmla="*/ 55442 w 1169867"/>
            <a:gd name="connsiteY1" fmla="*/ 1125361 h 2363611"/>
            <a:gd name="connsiteX2" fmla="*/ 836492 w 1169867"/>
            <a:gd name="connsiteY2" fmla="*/ 77611 h 2363611"/>
            <a:gd name="connsiteX3" fmla="*/ 912692 w 1169867"/>
            <a:gd name="connsiteY3" fmla="*/ 77611 h 2363611"/>
            <a:gd name="connsiteX4" fmla="*/ 903167 w 1169867"/>
            <a:gd name="connsiteY4" fmla="*/ 172861 h 2363611"/>
            <a:gd name="connsiteX5" fmla="*/ 693617 w 1169867"/>
            <a:gd name="connsiteY5" fmla="*/ 296686 h 2363611"/>
            <a:gd name="connsiteX6" fmla="*/ 436442 w 1169867"/>
            <a:gd name="connsiteY6" fmla="*/ 544336 h 2363611"/>
            <a:gd name="connsiteX7" fmla="*/ 284042 w 1169867"/>
            <a:gd name="connsiteY7" fmla="*/ 830086 h 2363611"/>
            <a:gd name="connsiteX8" fmla="*/ 207842 w 1169867"/>
            <a:gd name="connsiteY8" fmla="*/ 1125361 h 2363611"/>
            <a:gd name="connsiteX9" fmla="*/ 226892 w 1169867"/>
            <a:gd name="connsiteY9" fmla="*/ 2068336 h 2363611"/>
            <a:gd name="connsiteX10" fmla="*/ 1169867 w 1169867"/>
            <a:gd name="connsiteY10" fmla="*/ 2068336 h 2363611"/>
            <a:gd name="connsiteX11" fmla="*/ 1150817 w 1169867"/>
            <a:gd name="connsiteY11" fmla="*/ 201436 h 2363611"/>
            <a:gd name="connsiteX12" fmla="*/ 1152583 w 1169867"/>
            <a:gd name="connsiteY12" fmla="*/ 46138 h 2363611"/>
            <a:gd name="connsiteX0" fmla="*/ 64967 w 1169867"/>
            <a:gd name="connsiteY0" fmla="*/ 2363611 h 2363611"/>
            <a:gd name="connsiteX1" fmla="*/ 55442 w 1169867"/>
            <a:gd name="connsiteY1" fmla="*/ 1125361 h 2363611"/>
            <a:gd name="connsiteX2" fmla="*/ 836492 w 1169867"/>
            <a:gd name="connsiteY2" fmla="*/ 77611 h 2363611"/>
            <a:gd name="connsiteX3" fmla="*/ 912692 w 1169867"/>
            <a:gd name="connsiteY3" fmla="*/ 77611 h 2363611"/>
            <a:gd name="connsiteX4" fmla="*/ 903167 w 1169867"/>
            <a:gd name="connsiteY4" fmla="*/ 172861 h 2363611"/>
            <a:gd name="connsiteX5" fmla="*/ 693617 w 1169867"/>
            <a:gd name="connsiteY5" fmla="*/ 296686 h 2363611"/>
            <a:gd name="connsiteX6" fmla="*/ 436442 w 1169867"/>
            <a:gd name="connsiteY6" fmla="*/ 544336 h 2363611"/>
            <a:gd name="connsiteX7" fmla="*/ 284042 w 1169867"/>
            <a:gd name="connsiteY7" fmla="*/ 830086 h 2363611"/>
            <a:gd name="connsiteX8" fmla="*/ 207842 w 1169867"/>
            <a:gd name="connsiteY8" fmla="*/ 1125361 h 2363611"/>
            <a:gd name="connsiteX9" fmla="*/ 226892 w 1169867"/>
            <a:gd name="connsiteY9" fmla="*/ 2068336 h 2363611"/>
            <a:gd name="connsiteX10" fmla="*/ 1169867 w 1169867"/>
            <a:gd name="connsiteY10" fmla="*/ 2068336 h 2363611"/>
            <a:gd name="connsiteX11" fmla="*/ 1150817 w 1169867"/>
            <a:gd name="connsiteY11" fmla="*/ 201436 h 2363611"/>
            <a:gd name="connsiteX12" fmla="*/ 1152583 w 1169867"/>
            <a:gd name="connsiteY12" fmla="*/ 46138 h 2363611"/>
            <a:gd name="connsiteX0" fmla="*/ 0 w 1104900"/>
            <a:gd name="connsiteY0" fmla="*/ 2455333 h 2455333"/>
            <a:gd name="connsiteX1" fmla="*/ 771525 w 1104900"/>
            <a:gd name="connsiteY1" fmla="*/ 169333 h 2455333"/>
            <a:gd name="connsiteX2" fmla="*/ 847725 w 1104900"/>
            <a:gd name="connsiteY2" fmla="*/ 169333 h 2455333"/>
            <a:gd name="connsiteX3" fmla="*/ 838200 w 1104900"/>
            <a:gd name="connsiteY3" fmla="*/ 264583 h 2455333"/>
            <a:gd name="connsiteX4" fmla="*/ 628650 w 1104900"/>
            <a:gd name="connsiteY4" fmla="*/ 388408 h 2455333"/>
            <a:gd name="connsiteX5" fmla="*/ 371475 w 1104900"/>
            <a:gd name="connsiteY5" fmla="*/ 636058 h 2455333"/>
            <a:gd name="connsiteX6" fmla="*/ 219075 w 1104900"/>
            <a:gd name="connsiteY6" fmla="*/ 921808 h 2455333"/>
            <a:gd name="connsiteX7" fmla="*/ 142875 w 1104900"/>
            <a:gd name="connsiteY7" fmla="*/ 1217083 h 2455333"/>
            <a:gd name="connsiteX8" fmla="*/ 161925 w 1104900"/>
            <a:gd name="connsiteY8" fmla="*/ 2160058 h 2455333"/>
            <a:gd name="connsiteX9" fmla="*/ 1104900 w 1104900"/>
            <a:gd name="connsiteY9" fmla="*/ 2160058 h 2455333"/>
            <a:gd name="connsiteX10" fmla="*/ 1085850 w 1104900"/>
            <a:gd name="connsiteY10" fmla="*/ 293158 h 2455333"/>
            <a:gd name="connsiteX11" fmla="*/ 1087616 w 1104900"/>
            <a:gd name="connsiteY11" fmla="*/ 137860 h 2455333"/>
            <a:gd name="connsiteX0" fmla="*/ 628650 w 962025"/>
            <a:gd name="connsiteY0" fmla="*/ 169333 h 2160058"/>
            <a:gd name="connsiteX1" fmla="*/ 704850 w 962025"/>
            <a:gd name="connsiteY1" fmla="*/ 169333 h 2160058"/>
            <a:gd name="connsiteX2" fmla="*/ 695325 w 962025"/>
            <a:gd name="connsiteY2" fmla="*/ 264583 h 2160058"/>
            <a:gd name="connsiteX3" fmla="*/ 485775 w 962025"/>
            <a:gd name="connsiteY3" fmla="*/ 388408 h 2160058"/>
            <a:gd name="connsiteX4" fmla="*/ 228600 w 962025"/>
            <a:gd name="connsiteY4" fmla="*/ 636058 h 2160058"/>
            <a:gd name="connsiteX5" fmla="*/ 76200 w 962025"/>
            <a:gd name="connsiteY5" fmla="*/ 921808 h 2160058"/>
            <a:gd name="connsiteX6" fmla="*/ 0 w 962025"/>
            <a:gd name="connsiteY6" fmla="*/ 1217083 h 2160058"/>
            <a:gd name="connsiteX7" fmla="*/ 19050 w 962025"/>
            <a:gd name="connsiteY7" fmla="*/ 2160058 h 2160058"/>
            <a:gd name="connsiteX8" fmla="*/ 962025 w 962025"/>
            <a:gd name="connsiteY8" fmla="*/ 2160058 h 2160058"/>
            <a:gd name="connsiteX9" fmla="*/ 942975 w 962025"/>
            <a:gd name="connsiteY9" fmla="*/ 293158 h 2160058"/>
            <a:gd name="connsiteX10" fmla="*/ 944741 w 962025"/>
            <a:gd name="connsiteY10" fmla="*/ 137860 h 2160058"/>
            <a:gd name="connsiteX0" fmla="*/ 704850 w 962025"/>
            <a:gd name="connsiteY0" fmla="*/ 31473 h 2022198"/>
            <a:gd name="connsiteX1" fmla="*/ 695325 w 962025"/>
            <a:gd name="connsiteY1" fmla="*/ 126723 h 2022198"/>
            <a:gd name="connsiteX2" fmla="*/ 485775 w 962025"/>
            <a:gd name="connsiteY2" fmla="*/ 250548 h 2022198"/>
            <a:gd name="connsiteX3" fmla="*/ 228600 w 962025"/>
            <a:gd name="connsiteY3" fmla="*/ 498198 h 2022198"/>
            <a:gd name="connsiteX4" fmla="*/ 76200 w 962025"/>
            <a:gd name="connsiteY4" fmla="*/ 783948 h 2022198"/>
            <a:gd name="connsiteX5" fmla="*/ 0 w 962025"/>
            <a:gd name="connsiteY5" fmla="*/ 1079223 h 2022198"/>
            <a:gd name="connsiteX6" fmla="*/ 19050 w 962025"/>
            <a:gd name="connsiteY6" fmla="*/ 2022198 h 2022198"/>
            <a:gd name="connsiteX7" fmla="*/ 962025 w 962025"/>
            <a:gd name="connsiteY7" fmla="*/ 2022198 h 2022198"/>
            <a:gd name="connsiteX8" fmla="*/ 942975 w 962025"/>
            <a:gd name="connsiteY8" fmla="*/ 155298 h 2022198"/>
            <a:gd name="connsiteX9" fmla="*/ 944741 w 962025"/>
            <a:gd name="connsiteY9" fmla="*/ 0 h 2022198"/>
            <a:gd name="connsiteX0" fmla="*/ 704850 w 962025"/>
            <a:gd name="connsiteY0" fmla="*/ 31473 h 2022198"/>
            <a:gd name="connsiteX1" fmla="*/ 695325 w 962025"/>
            <a:gd name="connsiteY1" fmla="*/ 126723 h 2022198"/>
            <a:gd name="connsiteX2" fmla="*/ 485775 w 962025"/>
            <a:gd name="connsiteY2" fmla="*/ 250548 h 2022198"/>
            <a:gd name="connsiteX3" fmla="*/ 228600 w 962025"/>
            <a:gd name="connsiteY3" fmla="*/ 498198 h 2022198"/>
            <a:gd name="connsiteX4" fmla="*/ 76200 w 962025"/>
            <a:gd name="connsiteY4" fmla="*/ 783948 h 2022198"/>
            <a:gd name="connsiteX5" fmla="*/ 0 w 962025"/>
            <a:gd name="connsiteY5" fmla="*/ 1079223 h 2022198"/>
            <a:gd name="connsiteX6" fmla="*/ 19050 w 962025"/>
            <a:gd name="connsiteY6" fmla="*/ 2022198 h 2022198"/>
            <a:gd name="connsiteX7" fmla="*/ 962025 w 962025"/>
            <a:gd name="connsiteY7" fmla="*/ 2022198 h 2022198"/>
            <a:gd name="connsiteX8" fmla="*/ 942975 w 962025"/>
            <a:gd name="connsiteY8" fmla="*/ 155298 h 2022198"/>
            <a:gd name="connsiteX9" fmla="*/ 944741 w 962025"/>
            <a:gd name="connsiteY9" fmla="*/ 0 h 2022198"/>
            <a:gd name="connsiteX10" fmla="*/ 704850 w 962025"/>
            <a:gd name="connsiteY10" fmla="*/ 31473 h 2022198"/>
            <a:gd name="connsiteX0" fmla="*/ 704850 w 986092"/>
            <a:gd name="connsiteY0" fmla="*/ 31473 h 2022198"/>
            <a:gd name="connsiteX1" fmla="*/ 695325 w 986092"/>
            <a:gd name="connsiteY1" fmla="*/ 126723 h 2022198"/>
            <a:gd name="connsiteX2" fmla="*/ 485775 w 986092"/>
            <a:gd name="connsiteY2" fmla="*/ 250548 h 2022198"/>
            <a:gd name="connsiteX3" fmla="*/ 228600 w 986092"/>
            <a:gd name="connsiteY3" fmla="*/ 498198 h 2022198"/>
            <a:gd name="connsiteX4" fmla="*/ 76200 w 986092"/>
            <a:gd name="connsiteY4" fmla="*/ 783948 h 2022198"/>
            <a:gd name="connsiteX5" fmla="*/ 0 w 986092"/>
            <a:gd name="connsiteY5" fmla="*/ 1079223 h 2022198"/>
            <a:gd name="connsiteX6" fmla="*/ 19050 w 986092"/>
            <a:gd name="connsiteY6" fmla="*/ 2022198 h 2022198"/>
            <a:gd name="connsiteX7" fmla="*/ 962025 w 986092"/>
            <a:gd name="connsiteY7" fmla="*/ 2022198 h 2022198"/>
            <a:gd name="connsiteX8" fmla="*/ 942975 w 986092"/>
            <a:gd name="connsiteY8" fmla="*/ 155298 h 2022198"/>
            <a:gd name="connsiteX9" fmla="*/ 986092 w 986092"/>
            <a:gd name="connsiteY9" fmla="*/ 0 h 2022198"/>
            <a:gd name="connsiteX10" fmla="*/ 704850 w 986092"/>
            <a:gd name="connsiteY10" fmla="*/ 31473 h 202219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986092" h="2022198">
              <a:moveTo>
                <a:pt x="704850" y="31473"/>
              </a:moveTo>
              <a:lnTo>
                <a:pt x="695325" y="126723"/>
              </a:lnTo>
              <a:cubicBezTo>
                <a:pt x="658813" y="163235"/>
                <a:pt x="571500" y="167998"/>
                <a:pt x="485775" y="250548"/>
              </a:cubicBezTo>
              <a:cubicBezTo>
                <a:pt x="400050" y="333098"/>
                <a:pt x="296862" y="409298"/>
                <a:pt x="228600" y="498198"/>
              </a:cubicBezTo>
              <a:cubicBezTo>
                <a:pt x="160338" y="587098"/>
                <a:pt x="101600" y="685523"/>
                <a:pt x="76200" y="783948"/>
              </a:cubicBezTo>
              <a:lnTo>
                <a:pt x="0" y="1079223"/>
              </a:lnTo>
              <a:lnTo>
                <a:pt x="19050" y="2022198"/>
              </a:lnTo>
              <a:lnTo>
                <a:pt x="962025" y="2022198"/>
              </a:lnTo>
              <a:lnTo>
                <a:pt x="942975" y="155298"/>
              </a:lnTo>
              <a:cubicBezTo>
                <a:pt x="943564" y="103532"/>
                <a:pt x="985503" y="51766"/>
                <a:pt x="986092" y="0"/>
              </a:cubicBezTo>
              <a:lnTo>
                <a:pt x="704850" y="31473"/>
              </a:lnTo>
              <a:close/>
            </a:path>
          </a:pathLst>
        </a:custGeom>
        <a:solidFill>
          <a:schemeClr val="bg1">
            <a:lumMod val="95000"/>
          </a:schemeClr>
        </a:solidFill>
        <a:ln w="19050">
          <a:noFill/>
          <a:prstDash val="sysDot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1458058</xdr:colOff>
      <xdr:row>11</xdr:row>
      <xdr:rowOff>944655</xdr:rowOff>
    </xdr:from>
    <xdr:to>
      <xdr:col>4</xdr:col>
      <xdr:colOff>688732</xdr:colOff>
      <xdr:row>11</xdr:row>
      <xdr:rowOff>2573430</xdr:rowOff>
    </xdr:to>
    <xdr:sp macro="" textlink="">
      <xdr:nvSpPr>
        <xdr:cNvPr id="575" name="Полилиния 574"/>
        <xdr:cNvSpPr/>
      </xdr:nvSpPr>
      <xdr:spPr>
        <a:xfrm>
          <a:off x="3004470" y="17081126"/>
          <a:ext cx="810703" cy="1628775"/>
        </a:xfrm>
        <a:custGeom>
          <a:avLst/>
          <a:gdLst>
            <a:gd name="connsiteX0" fmla="*/ 0 w 838200"/>
            <a:gd name="connsiteY0" fmla="*/ 0 h 1628775"/>
            <a:gd name="connsiteX1" fmla="*/ 590550 w 838200"/>
            <a:gd name="connsiteY1" fmla="*/ 1628775 h 1628775"/>
            <a:gd name="connsiteX2" fmla="*/ 838200 w 838200"/>
            <a:gd name="connsiteY2" fmla="*/ 9525 h 1628775"/>
            <a:gd name="connsiteX0" fmla="*/ 0 w 838200"/>
            <a:gd name="connsiteY0" fmla="*/ 0 h 1628775"/>
            <a:gd name="connsiteX1" fmla="*/ 590550 w 838200"/>
            <a:gd name="connsiteY1" fmla="*/ 1628775 h 1628775"/>
            <a:gd name="connsiteX2" fmla="*/ 838200 w 838200"/>
            <a:gd name="connsiteY2" fmla="*/ 9525 h 1628775"/>
            <a:gd name="connsiteX3" fmla="*/ 0 w 838200"/>
            <a:gd name="connsiteY3" fmla="*/ 0 h 16287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838200" h="1628775">
              <a:moveTo>
                <a:pt x="0" y="0"/>
              </a:moveTo>
              <a:lnTo>
                <a:pt x="590550" y="1628775"/>
              </a:lnTo>
              <a:lnTo>
                <a:pt x="838200" y="9525"/>
              </a:lnTo>
              <a:lnTo>
                <a:pt x="0" y="0"/>
              </a:lnTo>
              <a:close/>
            </a:path>
          </a:pathLst>
        </a:custGeom>
        <a:solidFill>
          <a:schemeClr val="bg1">
            <a:lumMod val="95000"/>
          </a:schemeClr>
        </a:solidFill>
        <a:ln w="19050">
          <a:solidFill>
            <a:schemeClr val="tx1"/>
          </a:solidFill>
          <a:prstDash val="sysDot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442031</xdr:colOff>
      <xdr:row>7</xdr:row>
      <xdr:rowOff>46955</xdr:rowOff>
    </xdr:from>
    <xdr:to>
      <xdr:col>4</xdr:col>
      <xdr:colOff>562774</xdr:colOff>
      <xdr:row>7</xdr:row>
      <xdr:rowOff>1485731</xdr:rowOff>
    </xdr:to>
    <xdr:grpSp>
      <xdr:nvGrpSpPr>
        <xdr:cNvPr id="424" name="Группа 423"/>
        <xdr:cNvGrpSpPr/>
      </xdr:nvGrpSpPr>
      <xdr:grpSpPr>
        <a:xfrm rot="5400000">
          <a:off x="2907215" y="9240371"/>
          <a:ext cx="1438776" cy="120743"/>
          <a:chOff x="1640828" y="9323601"/>
          <a:chExt cx="1438776" cy="120743"/>
        </a:xfrm>
      </xdr:grpSpPr>
      <xdr:cxnSp macro="">
        <xdr:nvCxnSpPr>
          <xdr:cNvPr id="425" name="Прямая со стрелкой 424">
            <a:extLst>
              <a:ext uri="{FF2B5EF4-FFF2-40B4-BE49-F238E27FC236}">
                <a16:creationId xmlns:a16="http://schemas.microsoft.com/office/drawing/2014/main" xmlns="" id="{00000000-0008-0000-0600-000011000000}"/>
              </a:ext>
            </a:extLst>
          </xdr:cNvPr>
          <xdr:cNvCxnSpPr/>
        </xdr:nvCxnSpPr>
        <xdr:spPr>
          <a:xfrm flipH="1">
            <a:off x="2718658" y="9346877"/>
            <a:ext cx="360946" cy="0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26" name="Прямая со стрелкой 425">
            <a:extLst>
              <a:ext uri="{FF2B5EF4-FFF2-40B4-BE49-F238E27FC236}">
                <a16:creationId xmlns:a16="http://schemas.microsoft.com/office/drawing/2014/main" xmlns="" id="{00000000-0008-0000-0600-000012000000}"/>
              </a:ext>
            </a:extLst>
          </xdr:cNvPr>
          <xdr:cNvCxnSpPr/>
        </xdr:nvCxnSpPr>
        <xdr:spPr>
          <a:xfrm flipH="1">
            <a:off x="2718659" y="9421071"/>
            <a:ext cx="360945" cy="0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27" name="Прямая со стрелкой 426">
            <a:extLst>
              <a:ext uri="{FF2B5EF4-FFF2-40B4-BE49-F238E27FC236}">
                <a16:creationId xmlns:a16="http://schemas.microsoft.com/office/drawing/2014/main" xmlns="" id="{00000000-0008-0000-0600-000019000000}"/>
              </a:ext>
            </a:extLst>
          </xdr:cNvPr>
          <xdr:cNvCxnSpPr/>
        </xdr:nvCxnSpPr>
        <xdr:spPr>
          <a:xfrm rot="10800000" flipV="1">
            <a:off x="3050726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28" name="Прямая со стрелкой 427">
            <a:extLst>
              <a:ext uri="{FF2B5EF4-FFF2-40B4-BE49-F238E27FC236}">
                <a16:creationId xmlns:a16="http://schemas.microsoft.com/office/drawing/2014/main" xmlns="" id="{00000000-0008-0000-0600-00001A000000}"/>
              </a:ext>
            </a:extLst>
          </xdr:cNvPr>
          <xdr:cNvCxnSpPr/>
        </xdr:nvCxnSpPr>
        <xdr:spPr>
          <a:xfrm rot="10800000" flipV="1">
            <a:off x="3017685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29" name="Прямая со стрелкой 428">
            <a:extLst>
              <a:ext uri="{FF2B5EF4-FFF2-40B4-BE49-F238E27FC236}">
                <a16:creationId xmlns:a16="http://schemas.microsoft.com/office/drawing/2014/main" xmlns="" id="{00000000-0008-0000-0600-00001B000000}"/>
              </a:ext>
            </a:extLst>
          </xdr:cNvPr>
          <xdr:cNvCxnSpPr/>
        </xdr:nvCxnSpPr>
        <xdr:spPr>
          <a:xfrm rot="10800000" flipV="1">
            <a:off x="2984644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30" name="Прямая со стрелкой 429">
            <a:extLst>
              <a:ext uri="{FF2B5EF4-FFF2-40B4-BE49-F238E27FC236}">
                <a16:creationId xmlns:a16="http://schemas.microsoft.com/office/drawing/2014/main" xmlns="" id="{00000000-0008-0000-0600-00001C000000}"/>
              </a:ext>
            </a:extLst>
          </xdr:cNvPr>
          <xdr:cNvCxnSpPr/>
        </xdr:nvCxnSpPr>
        <xdr:spPr>
          <a:xfrm rot="10800000" flipV="1">
            <a:off x="2951603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31" name="Прямая со стрелкой 430">
            <a:extLst>
              <a:ext uri="{FF2B5EF4-FFF2-40B4-BE49-F238E27FC236}">
                <a16:creationId xmlns:a16="http://schemas.microsoft.com/office/drawing/2014/main" xmlns="" id="{00000000-0008-0000-0600-00001D000000}"/>
              </a:ext>
            </a:extLst>
          </xdr:cNvPr>
          <xdr:cNvCxnSpPr/>
        </xdr:nvCxnSpPr>
        <xdr:spPr>
          <a:xfrm rot="10800000" flipV="1">
            <a:off x="2918562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32" name="Прямая со стрелкой 431">
            <a:extLst>
              <a:ext uri="{FF2B5EF4-FFF2-40B4-BE49-F238E27FC236}">
                <a16:creationId xmlns:a16="http://schemas.microsoft.com/office/drawing/2014/main" xmlns="" id="{00000000-0008-0000-0600-00001E000000}"/>
              </a:ext>
            </a:extLst>
          </xdr:cNvPr>
          <xdr:cNvCxnSpPr/>
        </xdr:nvCxnSpPr>
        <xdr:spPr>
          <a:xfrm rot="10800000" flipV="1">
            <a:off x="2885521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33" name="Прямая со стрелкой 432">
            <a:extLst>
              <a:ext uri="{FF2B5EF4-FFF2-40B4-BE49-F238E27FC236}">
                <a16:creationId xmlns:a16="http://schemas.microsoft.com/office/drawing/2014/main" xmlns="" id="{00000000-0008-0000-0600-00001F000000}"/>
              </a:ext>
            </a:extLst>
          </xdr:cNvPr>
          <xdr:cNvCxnSpPr/>
        </xdr:nvCxnSpPr>
        <xdr:spPr>
          <a:xfrm rot="10800000" flipV="1">
            <a:off x="2852480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34" name="Прямая со стрелкой 433">
            <a:extLst>
              <a:ext uri="{FF2B5EF4-FFF2-40B4-BE49-F238E27FC236}">
                <a16:creationId xmlns:a16="http://schemas.microsoft.com/office/drawing/2014/main" xmlns="" id="{00000000-0008-0000-0600-000020000000}"/>
              </a:ext>
            </a:extLst>
          </xdr:cNvPr>
          <xdr:cNvCxnSpPr/>
        </xdr:nvCxnSpPr>
        <xdr:spPr>
          <a:xfrm rot="10800000" flipV="1">
            <a:off x="2819439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35" name="Прямая со стрелкой 434">
            <a:extLst>
              <a:ext uri="{FF2B5EF4-FFF2-40B4-BE49-F238E27FC236}">
                <a16:creationId xmlns:a16="http://schemas.microsoft.com/office/drawing/2014/main" xmlns="" id="{00000000-0008-0000-0600-000021000000}"/>
              </a:ext>
            </a:extLst>
          </xdr:cNvPr>
          <xdr:cNvCxnSpPr/>
        </xdr:nvCxnSpPr>
        <xdr:spPr>
          <a:xfrm rot="10800000" flipV="1">
            <a:off x="2786398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36" name="Прямая со стрелкой 435">
            <a:extLst>
              <a:ext uri="{FF2B5EF4-FFF2-40B4-BE49-F238E27FC236}">
                <a16:creationId xmlns:a16="http://schemas.microsoft.com/office/drawing/2014/main" xmlns="" id="{00000000-0008-0000-0600-000022000000}"/>
              </a:ext>
            </a:extLst>
          </xdr:cNvPr>
          <xdr:cNvCxnSpPr/>
        </xdr:nvCxnSpPr>
        <xdr:spPr>
          <a:xfrm rot="10800000" flipV="1">
            <a:off x="2753356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37" name="Прямая со стрелкой 436">
            <a:extLst>
              <a:ext uri="{FF2B5EF4-FFF2-40B4-BE49-F238E27FC236}">
                <a16:creationId xmlns:a16="http://schemas.microsoft.com/office/drawing/2014/main" xmlns="" id="{00000000-0008-0000-0600-000011000000}"/>
              </a:ext>
            </a:extLst>
          </xdr:cNvPr>
          <xdr:cNvCxnSpPr/>
        </xdr:nvCxnSpPr>
        <xdr:spPr>
          <a:xfrm rot="5400000">
            <a:off x="1915402" y="9072303"/>
            <a:ext cx="0" cy="549148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38" name="Прямая со стрелкой 437">
            <a:extLst>
              <a:ext uri="{FF2B5EF4-FFF2-40B4-BE49-F238E27FC236}">
                <a16:creationId xmlns:a16="http://schemas.microsoft.com/office/drawing/2014/main" xmlns="" id="{00000000-0008-0000-0600-000012000000}"/>
              </a:ext>
            </a:extLst>
          </xdr:cNvPr>
          <xdr:cNvCxnSpPr/>
        </xdr:nvCxnSpPr>
        <xdr:spPr>
          <a:xfrm rot="5400000">
            <a:off x="1916552" y="9145347"/>
            <a:ext cx="0" cy="55144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39" name="Прямая со стрелкой 438">
            <a:extLst>
              <a:ext uri="{FF2B5EF4-FFF2-40B4-BE49-F238E27FC236}">
                <a16:creationId xmlns:a16="http://schemas.microsoft.com/office/drawing/2014/main" xmlns="" id="{00000000-0008-0000-0600-000013000000}"/>
              </a:ext>
            </a:extLst>
          </xdr:cNvPr>
          <xdr:cNvCxnSpPr/>
        </xdr:nvCxnSpPr>
        <xdr:spPr>
          <a:xfrm rot="10800000" flipV="1">
            <a:off x="2171144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40" name="Прямая со стрелкой 439">
            <a:extLst>
              <a:ext uri="{FF2B5EF4-FFF2-40B4-BE49-F238E27FC236}">
                <a16:creationId xmlns:a16="http://schemas.microsoft.com/office/drawing/2014/main" xmlns="" id="{00000000-0008-0000-0600-000014000000}"/>
              </a:ext>
            </a:extLst>
          </xdr:cNvPr>
          <xdr:cNvCxnSpPr/>
        </xdr:nvCxnSpPr>
        <xdr:spPr>
          <a:xfrm rot="10800000" flipV="1">
            <a:off x="2138103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41" name="Прямая со стрелкой 440">
            <a:extLst>
              <a:ext uri="{FF2B5EF4-FFF2-40B4-BE49-F238E27FC236}">
                <a16:creationId xmlns:a16="http://schemas.microsoft.com/office/drawing/2014/main" xmlns="" id="{00000000-0008-0000-0600-000015000000}"/>
              </a:ext>
            </a:extLst>
          </xdr:cNvPr>
          <xdr:cNvCxnSpPr/>
        </xdr:nvCxnSpPr>
        <xdr:spPr>
          <a:xfrm rot="10800000" flipV="1">
            <a:off x="2105062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42" name="Прямая со стрелкой 441">
            <a:extLst>
              <a:ext uri="{FF2B5EF4-FFF2-40B4-BE49-F238E27FC236}">
                <a16:creationId xmlns:a16="http://schemas.microsoft.com/office/drawing/2014/main" xmlns="" id="{00000000-0008-0000-0600-000016000000}"/>
              </a:ext>
            </a:extLst>
          </xdr:cNvPr>
          <xdr:cNvCxnSpPr/>
        </xdr:nvCxnSpPr>
        <xdr:spPr>
          <a:xfrm rot="10800000" flipV="1">
            <a:off x="2072021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43" name="Прямая со стрелкой 442">
            <a:extLst>
              <a:ext uri="{FF2B5EF4-FFF2-40B4-BE49-F238E27FC236}">
                <a16:creationId xmlns:a16="http://schemas.microsoft.com/office/drawing/2014/main" xmlns="" id="{00000000-0008-0000-0600-000017000000}"/>
              </a:ext>
            </a:extLst>
          </xdr:cNvPr>
          <xdr:cNvCxnSpPr/>
        </xdr:nvCxnSpPr>
        <xdr:spPr>
          <a:xfrm rot="10800000" flipV="1">
            <a:off x="2038980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44" name="Прямая со стрелкой 443">
            <a:extLst>
              <a:ext uri="{FF2B5EF4-FFF2-40B4-BE49-F238E27FC236}">
                <a16:creationId xmlns:a16="http://schemas.microsoft.com/office/drawing/2014/main" xmlns="" id="{00000000-0008-0000-0600-000018000000}"/>
              </a:ext>
            </a:extLst>
          </xdr:cNvPr>
          <xdr:cNvCxnSpPr/>
        </xdr:nvCxnSpPr>
        <xdr:spPr>
          <a:xfrm rot="10800000" flipV="1">
            <a:off x="2005939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45" name="Прямая со стрелкой 444">
            <a:extLst>
              <a:ext uri="{FF2B5EF4-FFF2-40B4-BE49-F238E27FC236}">
                <a16:creationId xmlns:a16="http://schemas.microsoft.com/office/drawing/2014/main" xmlns="" id="{00000000-0008-0000-0600-000019000000}"/>
              </a:ext>
            </a:extLst>
          </xdr:cNvPr>
          <xdr:cNvCxnSpPr/>
        </xdr:nvCxnSpPr>
        <xdr:spPr>
          <a:xfrm rot="10800000" flipV="1">
            <a:off x="1972897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46" name="Прямая со стрелкой 445">
            <a:extLst>
              <a:ext uri="{FF2B5EF4-FFF2-40B4-BE49-F238E27FC236}">
                <a16:creationId xmlns:a16="http://schemas.microsoft.com/office/drawing/2014/main" xmlns="" id="{00000000-0008-0000-0600-00001A000000}"/>
              </a:ext>
            </a:extLst>
          </xdr:cNvPr>
          <xdr:cNvCxnSpPr/>
        </xdr:nvCxnSpPr>
        <xdr:spPr>
          <a:xfrm rot="10800000" flipV="1">
            <a:off x="1939856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47" name="Прямая со стрелкой 446">
            <a:extLst>
              <a:ext uri="{FF2B5EF4-FFF2-40B4-BE49-F238E27FC236}">
                <a16:creationId xmlns:a16="http://schemas.microsoft.com/office/drawing/2014/main" xmlns="" id="{00000000-0008-0000-0600-00001B000000}"/>
              </a:ext>
            </a:extLst>
          </xdr:cNvPr>
          <xdr:cNvCxnSpPr/>
        </xdr:nvCxnSpPr>
        <xdr:spPr>
          <a:xfrm rot="10800000" flipV="1">
            <a:off x="1906815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48" name="Прямая со стрелкой 447">
            <a:extLst>
              <a:ext uri="{FF2B5EF4-FFF2-40B4-BE49-F238E27FC236}">
                <a16:creationId xmlns:a16="http://schemas.microsoft.com/office/drawing/2014/main" xmlns="" id="{00000000-0008-0000-0600-00001C000000}"/>
              </a:ext>
            </a:extLst>
          </xdr:cNvPr>
          <xdr:cNvCxnSpPr/>
        </xdr:nvCxnSpPr>
        <xdr:spPr>
          <a:xfrm rot="10800000" flipV="1">
            <a:off x="1873774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49" name="Прямая со стрелкой 448">
            <a:extLst>
              <a:ext uri="{FF2B5EF4-FFF2-40B4-BE49-F238E27FC236}">
                <a16:creationId xmlns:a16="http://schemas.microsoft.com/office/drawing/2014/main" xmlns="" id="{00000000-0008-0000-0600-00001D000000}"/>
              </a:ext>
            </a:extLst>
          </xdr:cNvPr>
          <xdr:cNvCxnSpPr/>
        </xdr:nvCxnSpPr>
        <xdr:spPr>
          <a:xfrm rot="10800000" flipV="1">
            <a:off x="1840733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50" name="Прямая со стрелкой 449">
            <a:extLst>
              <a:ext uri="{FF2B5EF4-FFF2-40B4-BE49-F238E27FC236}">
                <a16:creationId xmlns:a16="http://schemas.microsoft.com/office/drawing/2014/main" xmlns="" id="{00000000-0008-0000-0600-00001E000000}"/>
              </a:ext>
            </a:extLst>
          </xdr:cNvPr>
          <xdr:cNvCxnSpPr/>
        </xdr:nvCxnSpPr>
        <xdr:spPr>
          <a:xfrm rot="10800000" flipV="1">
            <a:off x="1807692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51" name="Прямая со стрелкой 450">
            <a:extLst>
              <a:ext uri="{FF2B5EF4-FFF2-40B4-BE49-F238E27FC236}">
                <a16:creationId xmlns:a16="http://schemas.microsoft.com/office/drawing/2014/main" xmlns="" id="{00000000-0008-0000-0600-00001F000000}"/>
              </a:ext>
            </a:extLst>
          </xdr:cNvPr>
          <xdr:cNvCxnSpPr/>
        </xdr:nvCxnSpPr>
        <xdr:spPr>
          <a:xfrm rot="10800000" flipV="1">
            <a:off x="1774651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52" name="Прямая со стрелкой 451">
            <a:extLst>
              <a:ext uri="{FF2B5EF4-FFF2-40B4-BE49-F238E27FC236}">
                <a16:creationId xmlns:a16="http://schemas.microsoft.com/office/drawing/2014/main" xmlns="" id="{00000000-0008-0000-0600-000020000000}"/>
              </a:ext>
            </a:extLst>
          </xdr:cNvPr>
          <xdr:cNvCxnSpPr/>
        </xdr:nvCxnSpPr>
        <xdr:spPr>
          <a:xfrm rot="10800000" flipV="1">
            <a:off x="1741610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53" name="Прямая со стрелкой 452">
            <a:extLst>
              <a:ext uri="{FF2B5EF4-FFF2-40B4-BE49-F238E27FC236}">
                <a16:creationId xmlns:a16="http://schemas.microsoft.com/office/drawing/2014/main" xmlns="" id="{00000000-0008-0000-0600-000021000000}"/>
              </a:ext>
            </a:extLst>
          </xdr:cNvPr>
          <xdr:cNvCxnSpPr/>
        </xdr:nvCxnSpPr>
        <xdr:spPr>
          <a:xfrm rot="10800000" flipV="1">
            <a:off x="1708569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54" name="Прямая со стрелкой 453">
            <a:extLst>
              <a:ext uri="{FF2B5EF4-FFF2-40B4-BE49-F238E27FC236}">
                <a16:creationId xmlns:a16="http://schemas.microsoft.com/office/drawing/2014/main" xmlns="" id="{00000000-0008-0000-0600-000022000000}"/>
              </a:ext>
            </a:extLst>
          </xdr:cNvPr>
          <xdr:cNvCxnSpPr/>
        </xdr:nvCxnSpPr>
        <xdr:spPr>
          <a:xfrm rot="10800000" flipV="1">
            <a:off x="1675527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55" name="Прямая со стрелкой 454">
            <a:extLst>
              <a:ext uri="{FF2B5EF4-FFF2-40B4-BE49-F238E27FC236}">
                <a16:creationId xmlns:a16="http://schemas.microsoft.com/office/drawing/2014/main" xmlns="" id="{00000000-0008-0000-0600-000011000000}"/>
              </a:ext>
            </a:extLst>
          </xdr:cNvPr>
          <xdr:cNvCxnSpPr/>
        </xdr:nvCxnSpPr>
        <xdr:spPr>
          <a:xfrm rot="5400000">
            <a:off x="2451810" y="9072303"/>
            <a:ext cx="0" cy="549148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56" name="Прямая со стрелкой 455">
            <a:extLst>
              <a:ext uri="{FF2B5EF4-FFF2-40B4-BE49-F238E27FC236}">
                <a16:creationId xmlns:a16="http://schemas.microsoft.com/office/drawing/2014/main" xmlns="" id="{00000000-0008-0000-0600-000012000000}"/>
              </a:ext>
            </a:extLst>
          </xdr:cNvPr>
          <xdr:cNvCxnSpPr/>
        </xdr:nvCxnSpPr>
        <xdr:spPr>
          <a:xfrm rot="5400000">
            <a:off x="2452960" y="9145347"/>
            <a:ext cx="0" cy="55144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57" name="Прямая со стрелкой 456">
            <a:extLst>
              <a:ext uri="{FF2B5EF4-FFF2-40B4-BE49-F238E27FC236}">
                <a16:creationId xmlns:a16="http://schemas.microsoft.com/office/drawing/2014/main" xmlns="" id="{00000000-0008-0000-0600-000013000000}"/>
              </a:ext>
            </a:extLst>
          </xdr:cNvPr>
          <xdr:cNvCxnSpPr/>
        </xdr:nvCxnSpPr>
        <xdr:spPr>
          <a:xfrm rot="10800000" flipV="1">
            <a:off x="2707552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58" name="Прямая со стрелкой 457">
            <a:extLst>
              <a:ext uri="{FF2B5EF4-FFF2-40B4-BE49-F238E27FC236}">
                <a16:creationId xmlns:a16="http://schemas.microsoft.com/office/drawing/2014/main" xmlns="" id="{00000000-0008-0000-0600-000014000000}"/>
              </a:ext>
            </a:extLst>
          </xdr:cNvPr>
          <xdr:cNvCxnSpPr/>
        </xdr:nvCxnSpPr>
        <xdr:spPr>
          <a:xfrm rot="10800000" flipV="1">
            <a:off x="2674511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59" name="Прямая со стрелкой 458">
            <a:extLst>
              <a:ext uri="{FF2B5EF4-FFF2-40B4-BE49-F238E27FC236}">
                <a16:creationId xmlns:a16="http://schemas.microsoft.com/office/drawing/2014/main" xmlns="" id="{00000000-0008-0000-0600-000015000000}"/>
              </a:ext>
            </a:extLst>
          </xdr:cNvPr>
          <xdr:cNvCxnSpPr/>
        </xdr:nvCxnSpPr>
        <xdr:spPr>
          <a:xfrm rot="10800000" flipV="1">
            <a:off x="2641470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60" name="Прямая со стрелкой 459">
            <a:extLst>
              <a:ext uri="{FF2B5EF4-FFF2-40B4-BE49-F238E27FC236}">
                <a16:creationId xmlns:a16="http://schemas.microsoft.com/office/drawing/2014/main" xmlns="" id="{00000000-0008-0000-0600-000016000000}"/>
              </a:ext>
            </a:extLst>
          </xdr:cNvPr>
          <xdr:cNvCxnSpPr/>
        </xdr:nvCxnSpPr>
        <xdr:spPr>
          <a:xfrm rot="10800000" flipV="1">
            <a:off x="2608429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61" name="Прямая со стрелкой 460">
            <a:extLst>
              <a:ext uri="{FF2B5EF4-FFF2-40B4-BE49-F238E27FC236}">
                <a16:creationId xmlns:a16="http://schemas.microsoft.com/office/drawing/2014/main" xmlns="" id="{00000000-0008-0000-0600-000017000000}"/>
              </a:ext>
            </a:extLst>
          </xdr:cNvPr>
          <xdr:cNvCxnSpPr/>
        </xdr:nvCxnSpPr>
        <xdr:spPr>
          <a:xfrm rot="10800000" flipV="1">
            <a:off x="2575388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62" name="Прямая со стрелкой 461">
            <a:extLst>
              <a:ext uri="{FF2B5EF4-FFF2-40B4-BE49-F238E27FC236}">
                <a16:creationId xmlns:a16="http://schemas.microsoft.com/office/drawing/2014/main" xmlns="" id="{00000000-0008-0000-0600-000018000000}"/>
              </a:ext>
            </a:extLst>
          </xdr:cNvPr>
          <xdr:cNvCxnSpPr/>
        </xdr:nvCxnSpPr>
        <xdr:spPr>
          <a:xfrm rot="10800000" flipV="1">
            <a:off x="2542347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63" name="Прямая со стрелкой 462">
            <a:extLst>
              <a:ext uri="{FF2B5EF4-FFF2-40B4-BE49-F238E27FC236}">
                <a16:creationId xmlns:a16="http://schemas.microsoft.com/office/drawing/2014/main" xmlns="" id="{00000000-0008-0000-0600-000019000000}"/>
              </a:ext>
            </a:extLst>
          </xdr:cNvPr>
          <xdr:cNvCxnSpPr/>
        </xdr:nvCxnSpPr>
        <xdr:spPr>
          <a:xfrm rot="10800000" flipV="1">
            <a:off x="2509305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64" name="Прямая со стрелкой 463">
            <a:extLst>
              <a:ext uri="{FF2B5EF4-FFF2-40B4-BE49-F238E27FC236}">
                <a16:creationId xmlns:a16="http://schemas.microsoft.com/office/drawing/2014/main" xmlns="" id="{00000000-0008-0000-0600-00001A000000}"/>
              </a:ext>
            </a:extLst>
          </xdr:cNvPr>
          <xdr:cNvCxnSpPr/>
        </xdr:nvCxnSpPr>
        <xdr:spPr>
          <a:xfrm rot="10800000" flipV="1">
            <a:off x="2476264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65" name="Прямая со стрелкой 464">
            <a:extLst>
              <a:ext uri="{FF2B5EF4-FFF2-40B4-BE49-F238E27FC236}">
                <a16:creationId xmlns:a16="http://schemas.microsoft.com/office/drawing/2014/main" xmlns="" id="{00000000-0008-0000-0600-00001B000000}"/>
              </a:ext>
            </a:extLst>
          </xdr:cNvPr>
          <xdr:cNvCxnSpPr/>
        </xdr:nvCxnSpPr>
        <xdr:spPr>
          <a:xfrm rot="10800000" flipV="1">
            <a:off x="2443223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66" name="Прямая со стрелкой 465">
            <a:extLst>
              <a:ext uri="{FF2B5EF4-FFF2-40B4-BE49-F238E27FC236}">
                <a16:creationId xmlns:a16="http://schemas.microsoft.com/office/drawing/2014/main" xmlns="" id="{00000000-0008-0000-0600-00001C000000}"/>
              </a:ext>
            </a:extLst>
          </xdr:cNvPr>
          <xdr:cNvCxnSpPr/>
        </xdr:nvCxnSpPr>
        <xdr:spPr>
          <a:xfrm rot="10800000" flipV="1">
            <a:off x="2410182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67" name="Прямая со стрелкой 466">
            <a:extLst>
              <a:ext uri="{FF2B5EF4-FFF2-40B4-BE49-F238E27FC236}">
                <a16:creationId xmlns:a16="http://schemas.microsoft.com/office/drawing/2014/main" xmlns="" id="{00000000-0008-0000-0600-00001D000000}"/>
              </a:ext>
            </a:extLst>
          </xdr:cNvPr>
          <xdr:cNvCxnSpPr/>
        </xdr:nvCxnSpPr>
        <xdr:spPr>
          <a:xfrm rot="10800000" flipV="1">
            <a:off x="2377141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68" name="Прямая со стрелкой 467">
            <a:extLst>
              <a:ext uri="{FF2B5EF4-FFF2-40B4-BE49-F238E27FC236}">
                <a16:creationId xmlns:a16="http://schemas.microsoft.com/office/drawing/2014/main" xmlns="" id="{00000000-0008-0000-0600-00001E000000}"/>
              </a:ext>
            </a:extLst>
          </xdr:cNvPr>
          <xdr:cNvCxnSpPr/>
        </xdr:nvCxnSpPr>
        <xdr:spPr>
          <a:xfrm rot="10800000" flipV="1">
            <a:off x="2344100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69" name="Прямая со стрелкой 468">
            <a:extLst>
              <a:ext uri="{FF2B5EF4-FFF2-40B4-BE49-F238E27FC236}">
                <a16:creationId xmlns:a16="http://schemas.microsoft.com/office/drawing/2014/main" xmlns="" id="{00000000-0008-0000-0600-00001F000000}"/>
              </a:ext>
            </a:extLst>
          </xdr:cNvPr>
          <xdr:cNvCxnSpPr/>
        </xdr:nvCxnSpPr>
        <xdr:spPr>
          <a:xfrm rot="10800000" flipV="1">
            <a:off x="2311059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70" name="Прямая со стрелкой 469">
            <a:extLst>
              <a:ext uri="{FF2B5EF4-FFF2-40B4-BE49-F238E27FC236}">
                <a16:creationId xmlns:a16="http://schemas.microsoft.com/office/drawing/2014/main" xmlns="" id="{00000000-0008-0000-0600-000020000000}"/>
              </a:ext>
            </a:extLst>
          </xdr:cNvPr>
          <xdr:cNvCxnSpPr/>
        </xdr:nvCxnSpPr>
        <xdr:spPr>
          <a:xfrm rot="10800000" flipV="1">
            <a:off x="2278018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71" name="Прямая со стрелкой 470">
            <a:extLst>
              <a:ext uri="{FF2B5EF4-FFF2-40B4-BE49-F238E27FC236}">
                <a16:creationId xmlns:a16="http://schemas.microsoft.com/office/drawing/2014/main" xmlns="" id="{00000000-0008-0000-0600-000021000000}"/>
              </a:ext>
            </a:extLst>
          </xdr:cNvPr>
          <xdr:cNvCxnSpPr/>
        </xdr:nvCxnSpPr>
        <xdr:spPr>
          <a:xfrm rot="10800000" flipV="1">
            <a:off x="2244977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72" name="Прямая со стрелкой 471">
            <a:extLst>
              <a:ext uri="{FF2B5EF4-FFF2-40B4-BE49-F238E27FC236}">
                <a16:creationId xmlns:a16="http://schemas.microsoft.com/office/drawing/2014/main" xmlns="" id="{00000000-0008-0000-0600-000022000000}"/>
              </a:ext>
            </a:extLst>
          </xdr:cNvPr>
          <xdr:cNvCxnSpPr/>
        </xdr:nvCxnSpPr>
        <xdr:spPr>
          <a:xfrm rot="10800000" flipV="1">
            <a:off x="2211935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343460</xdr:colOff>
      <xdr:row>3</xdr:row>
      <xdr:rowOff>138068</xdr:rowOff>
    </xdr:from>
    <xdr:to>
      <xdr:col>6</xdr:col>
      <xdr:colOff>323850</xdr:colOff>
      <xdr:row>3</xdr:row>
      <xdr:rowOff>509303</xdr:rowOff>
    </xdr:to>
    <xdr:sp macro="" textlink="">
      <xdr:nvSpPr>
        <xdr:cNvPr id="3" name="TextBox 2"/>
        <xdr:cNvSpPr txBox="1"/>
      </xdr:nvSpPr>
      <xdr:spPr>
        <a:xfrm>
          <a:off x="1889872" y="1034539"/>
          <a:ext cx="4048125" cy="3712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600" b="1"/>
            <a:t>просп.</a:t>
          </a:r>
          <a:r>
            <a:rPr lang="ru-RU" sz="1600" b="1" baseline="0"/>
            <a:t> Гагарина</a:t>
          </a:r>
          <a:endParaRPr lang="ru-RU" sz="1600" b="1"/>
        </a:p>
      </xdr:txBody>
    </xdr:sp>
    <xdr:clientData/>
  </xdr:twoCellAnchor>
  <xdr:twoCellAnchor>
    <xdr:from>
      <xdr:col>4</xdr:col>
      <xdr:colOff>504443</xdr:colOff>
      <xdr:row>12</xdr:row>
      <xdr:rowOff>63193</xdr:rowOff>
    </xdr:from>
    <xdr:to>
      <xdr:col>4</xdr:col>
      <xdr:colOff>504443</xdr:colOff>
      <xdr:row>12</xdr:row>
      <xdr:rowOff>1389125</xdr:rowOff>
    </xdr:to>
    <xdr:cxnSp macro="">
      <xdr:nvCxnSpPr>
        <xdr:cNvPr id="64" name="Прямая со стрелкой 63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 flipV="1">
          <a:off x="3639034" y="19251738"/>
          <a:ext cx="0" cy="1325932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462210</xdr:colOff>
      <xdr:row>12</xdr:row>
      <xdr:rowOff>1359362</xdr:rowOff>
    </xdr:from>
    <xdr:to>
      <xdr:col>4</xdr:col>
      <xdr:colOff>534210</xdr:colOff>
      <xdr:row>12</xdr:row>
      <xdr:rowOff>1431362</xdr:rowOff>
    </xdr:to>
    <xdr:sp macro="" textlink="">
      <xdr:nvSpPr>
        <xdr:cNvPr id="65" name="Овал 6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3596801" y="20547907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1404010</xdr:colOff>
      <xdr:row>12</xdr:row>
      <xdr:rowOff>763362</xdr:rowOff>
    </xdr:from>
    <xdr:to>
      <xdr:col>4</xdr:col>
      <xdr:colOff>1207178</xdr:colOff>
      <xdr:row>12</xdr:row>
      <xdr:rowOff>763362</xdr:rowOff>
    </xdr:to>
    <xdr:cxnSp macro="">
      <xdr:nvCxnSpPr>
        <xdr:cNvPr id="74" name="Прямая соединительная линия 73"/>
        <xdr:cNvCxnSpPr/>
      </xdr:nvCxnSpPr>
      <xdr:spPr>
        <a:xfrm flipH="1">
          <a:off x="2962646" y="19951907"/>
          <a:ext cx="1379123" cy="0"/>
        </a:xfrm>
        <a:prstGeom prst="line">
          <a:avLst/>
        </a:prstGeom>
        <a:ln w="1905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32192</xdr:colOff>
      <xdr:row>3</xdr:row>
      <xdr:rowOff>1111897</xdr:rowOff>
    </xdr:from>
    <xdr:to>
      <xdr:col>4</xdr:col>
      <xdr:colOff>184282</xdr:colOff>
      <xdr:row>3</xdr:row>
      <xdr:rowOff>1255778</xdr:rowOff>
    </xdr:to>
    <xdr:sp macro="" textlink="">
      <xdr:nvSpPr>
        <xdr:cNvPr id="99" name="Овал 9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3152451" y="1979000"/>
          <a:ext cx="152090" cy="143881"/>
        </a:xfrm>
        <a:prstGeom prst="ellipse">
          <a:avLst/>
        </a:prstGeom>
        <a:solidFill>
          <a:schemeClr val="tx1"/>
        </a:solidFill>
        <a:ln w="349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634900</xdr:colOff>
      <xdr:row>4</xdr:row>
      <xdr:rowOff>1375426</xdr:rowOff>
    </xdr:from>
    <xdr:to>
      <xdr:col>4</xdr:col>
      <xdr:colOff>710213</xdr:colOff>
      <xdr:row>4</xdr:row>
      <xdr:rowOff>1447426</xdr:rowOff>
    </xdr:to>
    <xdr:sp macro="" textlink="">
      <xdr:nvSpPr>
        <xdr:cNvPr id="104" name="Овал 103">
          <a:extLst>
            <a:ext uri="{FF2B5EF4-FFF2-40B4-BE49-F238E27FC236}">
              <a16:creationId xmlns:a16="http://schemas.microsoft.com/office/drawing/2014/main" xmlns="" id="{00000000-0008-0000-0900-00003D020000}"/>
            </a:ext>
          </a:extLst>
        </xdr:cNvPr>
        <xdr:cNvSpPr/>
      </xdr:nvSpPr>
      <xdr:spPr>
        <a:xfrm>
          <a:off x="3769491" y="5323971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664311</xdr:colOff>
      <xdr:row>4</xdr:row>
      <xdr:rowOff>100853</xdr:rowOff>
    </xdr:from>
    <xdr:to>
      <xdr:col>4</xdr:col>
      <xdr:colOff>664311</xdr:colOff>
      <xdr:row>4</xdr:row>
      <xdr:rowOff>1429663</xdr:rowOff>
    </xdr:to>
    <xdr:cxnSp macro="">
      <xdr:nvCxnSpPr>
        <xdr:cNvPr id="105" name="Прямая со стрелкой 104">
          <a:extLst>
            <a:ext uri="{FF2B5EF4-FFF2-40B4-BE49-F238E27FC236}">
              <a16:creationId xmlns:a16="http://schemas.microsoft.com/office/drawing/2014/main" xmlns="" id="{00000000-0008-0000-0900-00003B020000}"/>
            </a:ext>
          </a:extLst>
        </xdr:cNvPr>
        <xdr:cNvCxnSpPr/>
      </xdr:nvCxnSpPr>
      <xdr:spPr>
        <a:xfrm flipV="1">
          <a:off x="3798902" y="4049398"/>
          <a:ext cx="0" cy="1328810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1527057</xdr:colOff>
      <xdr:row>4</xdr:row>
      <xdr:rowOff>760651</xdr:rowOff>
    </xdr:from>
    <xdr:to>
      <xdr:col>5</xdr:col>
      <xdr:colOff>12638</xdr:colOff>
      <xdr:row>4</xdr:row>
      <xdr:rowOff>760651</xdr:rowOff>
    </xdr:to>
    <xdr:cxnSp macro="">
      <xdr:nvCxnSpPr>
        <xdr:cNvPr id="106" name="Прямая со стрелкой 105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>
          <a:off x="3085693" y="4709196"/>
          <a:ext cx="1446990" cy="0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262046</xdr:colOff>
      <xdr:row>0</xdr:row>
      <xdr:rowOff>97836</xdr:rowOff>
    </xdr:from>
    <xdr:to>
      <xdr:col>2</xdr:col>
      <xdr:colOff>212819</xdr:colOff>
      <xdr:row>1</xdr:row>
      <xdr:rowOff>205194</xdr:rowOff>
    </xdr:to>
    <xdr:pic>
      <xdr:nvPicPr>
        <xdr:cNvPr id="350" name="Рисунок 34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046" y="97836"/>
          <a:ext cx="910600" cy="415089"/>
        </a:xfrm>
        <a:prstGeom prst="rect">
          <a:avLst/>
        </a:prstGeom>
      </xdr:spPr>
    </xdr:pic>
    <xdr:clientData/>
  </xdr:twoCellAnchor>
  <xdr:twoCellAnchor>
    <xdr:from>
      <xdr:col>3</xdr:col>
      <xdr:colOff>179294</xdr:colOff>
      <xdr:row>3</xdr:row>
      <xdr:rowOff>986113</xdr:rowOff>
    </xdr:from>
    <xdr:to>
      <xdr:col>3</xdr:col>
      <xdr:colOff>1467970</xdr:colOff>
      <xdr:row>3</xdr:row>
      <xdr:rowOff>2895498</xdr:rowOff>
    </xdr:to>
    <xdr:sp macro="" textlink="">
      <xdr:nvSpPr>
        <xdr:cNvPr id="360" name="Полилиния 359"/>
        <xdr:cNvSpPr/>
      </xdr:nvSpPr>
      <xdr:spPr>
        <a:xfrm>
          <a:off x="1719859" y="1847504"/>
          <a:ext cx="1288676" cy="1909385"/>
        </a:xfrm>
        <a:custGeom>
          <a:avLst/>
          <a:gdLst>
            <a:gd name="connsiteX0" fmla="*/ 0 w 1288676"/>
            <a:gd name="connsiteY0" fmla="*/ 0 h 1445559"/>
            <a:gd name="connsiteX1" fmla="*/ 1288676 w 1288676"/>
            <a:gd name="connsiteY1" fmla="*/ 22412 h 1445559"/>
            <a:gd name="connsiteX2" fmla="*/ 1288676 w 1288676"/>
            <a:gd name="connsiteY2" fmla="*/ 1445559 h 1445559"/>
            <a:gd name="connsiteX0" fmla="*/ 0 w 1288676"/>
            <a:gd name="connsiteY0" fmla="*/ 0 h 1909385"/>
            <a:gd name="connsiteX1" fmla="*/ 1288676 w 1288676"/>
            <a:gd name="connsiteY1" fmla="*/ 22412 h 1909385"/>
            <a:gd name="connsiteX2" fmla="*/ 1288676 w 1288676"/>
            <a:gd name="connsiteY2" fmla="*/ 1909385 h 190938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88676" h="1909385">
              <a:moveTo>
                <a:pt x="0" y="0"/>
              </a:moveTo>
              <a:lnTo>
                <a:pt x="1288676" y="22412"/>
              </a:lnTo>
              <a:lnTo>
                <a:pt x="1288676" y="1909385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336177</xdr:colOff>
      <xdr:row>3</xdr:row>
      <xdr:rowOff>997320</xdr:rowOff>
    </xdr:from>
    <xdr:to>
      <xdr:col>4</xdr:col>
      <xdr:colOff>1355912</xdr:colOff>
      <xdr:row>3</xdr:row>
      <xdr:rowOff>2425826</xdr:rowOff>
    </xdr:to>
    <xdr:sp macro="" textlink="">
      <xdr:nvSpPr>
        <xdr:cNvPr id="361" name="Полилиния 360"/>
        <xdr:cNvSpPr/>
      </xdr:nvSpPr>
      <xdr:spPr>
        <a:xfrm>
          <a:off x="3458720" y="1858711"/>
          <a:ext cx="1019735" cy="1428506"/>
        </a:xfrm>
        <a:custGeom>
          <a:avLst/>
          <a:gdLst>
            <a:gd name="connsiteX0" fmla="*/ 560294 w 1019735"/>
            <a:gd name="connsiteY0" fmla="*/ 1423147 h 1423147"/>
            <a:gd name="connsiteX1" fmla="*/ 560294 w 1019735"/>
            <a:gd name="connsiteY1" fmla="*/ 593912 h 1423147"/>
            <a:gd name="connsiteX2" fmla="*/ 0 w 1019735"/>
            <a:gd name="connsiteY2" fmla="*/ 593912 h 1423147"/>
            <a:gd name="connsiteX3" fmla="*/ 0 w 1019735"/>
            <a:gd name="connsiteY3" fmla="*/ 0 h 1423147"/>
            <a:gd name="connsiteX4" fmla="*/ 1019735 w 1019735"/>
            <a:gd name="connsiteY4" fmla="*/ 0 h 1423147"/>
            <a:gd name="connsiteX5" fmla="*/ 1019735 w 1019735"/>
            <a:gd name="connsiteY5" fmla="*/ 605117 h 1423147"/>
            <a:gd name="connsiteX6" fmla="*/ 952500 w 1019735"/>
            <a:gd name="connsiteY6" fmla="*/ 605117 h 1423147"/>
            <a:gd name="connsiteX7" fmla="*/ 952500 w 1019735"/>
            <a:gd name="connsiteY7" fmla="*/ 1411941 h 1423147"/>
            <a:gd name="connsiteX0" fmla="*/ 560294 w 1019735"/>
            <a:gd name="connsiteY0" fmla="*/ 1423147 h 1423147"/>
            <a:gd name="connsiteX1" fmla="*/ 560294 w 1019735"/>
            <a:gd name="connsiteY1" fmla="*/ 593912 h 1423147"/>
            <a:gd name="connsiteX2" fmla="*/ 0 w 1019735"/>
            <a:gd name="connsiteY2" fmla="*/ 593912 h 1423147"/>
            <a:gd name="connsiteX3" fmla="*/ 0 w 1019735"/>
            <a:gd name="connsiteY3" fmla="*/ 0 h 1423147"/>
            <a:gd name="connsiteX4" fmla="*/ 1019735 w 1019735"/>
            <a:gd name="connsiteY4" fmla="*/ 0 h 1423147"/>
            <a:gd name="connsiteX5" fmla="*/ 1019735 w 1019735"/>
            <a:gd name="connsiteY5" fmla="*/ 605117 h 1423147"/>
            <a:gd name="connsiteX6" fmla="*/ 952500 w 1019735"/>
            <a:gd name="connsiteY6" fmla="*/ 605117 h 1423147"/>
            <a:gd name="connsiteX7" fmla="*/ 952500 w 1019735"/>
            <a:gd name="connsiteY7" fmla="*/ 1411941 h 1423147"/>
            <a:gd name="connsiteX8" fmla="*/ 560294 w 1019735"/>
            <a:gd name="connsiteY8" fmla="*/ 1423147 h 1423147"/>
            <a:gd name="connsiteX0" fmla="*/ 560294 w 1019735"/>
            <a:gd name="connsiteY0" fmla="*/ 1423147 h 1428506"/>
            <a:gd name="connsiteX1" fmla="*/ 560294 w 1019735"/>
            <a:gd name="connsiteY1" fmla="*/ 593912 h 1428506"/>
            <a:gd name="connsiteX2" fmla="*/ 0 w 1019735"/>
            <a:gd name="connsiteY2" fmla="*/ 593912 h 1428506"/>
            <a:gd name="connsiteX3" fmla="*/ 0 w 1019735"/>
            <a:gd name="connsiteY3" fmla="*/ 0 h 1428506"/>
            <a:gd name="connsiteX4" fmla="*/ 1019735 w 1019735"/>
            <a:gd name="connsiteY4" fmla="*/ 0 h 1428506"/>
            <a:gd name="connsiteX5" fmla="*/ 1019735 w 1019735"/>
            <a:gd name="connsiteY5" fmla="*/ 605117 h 1428506"/>
            <a:gd name="connsiteX6" fmla="*/ 952500 w 1019735"/>
            <a:gd name="connsiteY6" fmla="*/ 605117 h 1428506"/>
            <a:gd name="connsiteX7" fmla="*/ 969065 w 1019735"/>
            <a:gd name="connsiteY7" fmla="*/ 1428506 h 1428506"/>
            <a:gd name="connsiteX8" fmla="*/ 560294 w 1019735"/>
            <a:gd name="connsiteY8" fmla="*/ 1423147 h 1428506"/>
            <a:gd name="connsiteX0" fmla="*/ 560294 w 1019735"/>
            <a:gd name="connsiteY0" fmla="*/ 1423147 h 1428506"/>
            <a:gd name="connsiteX1" fmla="*/ 560294 w 1019735"/>
            <a:gd name="connsiteY1" fmla="*/ 593912 h 1428506"/>
            <a:gd name="connsiteX2" fmla="*/ 0 w 1019735"/>
            <a:gd name="connsiteY2" fmla="*/ 593912 h 1428506"/>
            <a:gd name="connsiteX3" fmla="*/ 0 w 1019735"/>
            <a:gd name="connsiteY3" fmla="*/ 0 h 1428506"/>
            <a:gd name="connsiteX4" fmla="*/ 1019735 w 1019735"/>
            <a:gd name="connsiteY4" fmla="*/ 0 h 1428506"/>
            <a:gd name="connsiteX5" fmla="*/ 1019735 w 1019735"/>
            <a:gd name="connsiteY5" fmla="*/ 605117 h 1428506"/>
            <a:gd name="connsiteX6" fmla="*/ 952500 w 1019735"/>
            <a:gd name="connsiteY6" fmla="*/ 605117 h 1428506"/>
            <a:gd name="connsiteX7" fmla="*/ 960782 w 1019735"/>
            <a:gd name="connsiteY7" fmla="*/ 1428506 h 1428506"/>
            <a:gd name="connsiteX8" fmla="*/ 560294 w 1019735"/>
            <a:gd name="connsiteY8" fmla="*/ 1423147 h 14285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1019735" h="1428506">
              <a:moveTo>
                <a:pt x="560294" y="1423147"/>
              </a:moveTo>
              <a:lnTo>
                <a:pt x="560294" y="593912"/>
              </a:lnTo>
              <a:lnTo>
                <a:pt x="0" y="593912"/>
              </a:lnTo>
              <a:lnTo>
                <a:pt x="0" y="0"/>
              </a:lnTo>
              <a:lnTo>
                <a:pt x="1019735" y="0"/>
              </a:lnTo>
              <a:lnTo>
                <a:pt x="1019735" y="605117"/>
              </a:lnTo>
              <a:lnTo>
                <a:pt x="952500" y="605117"/>
              </a:lnTo>
              <a:cubicBezTo>
                <a:pt x="955261" y="879580"/>
                <a:pt x="958021" y="1154043"/>
                <a:pt x="960782" y="1428506"/>
              </a:cubicBezTo>
              <a:lnTo>
                <a:pt x="560294" y="1423147"/>
              </a:lnTo>
              <a:close/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336176</xdr:colOff>
      <xdr:row>3</xdr:row>
      <xdr:rowOff>1008526</xdr:rowOff>
    </xdr:from>
    <xdr:to>
      <xdr:col>6</xdr:col>
      <xdr:colOff>347382</xdr:colOff>
      <xdr:row>3</xdr:row>
      <xdr:rowOff>2919860</xdr:rowOff>
    </xdr:to>
    <xdr:sp macro="" textlink="">
      <xdr:nvSpPr>
        <xdr:cNvPr id="362" name="Полилиния 361"/>
        <xdr:cNvSpPr/>
      </xdr:nvSpPr>
      <xdr:spPr>
        <a:xfrm>
          <a:off x="4841915" y="1869917"/>
          <a:ext cx="1129358" cy="1911334"/>
        </a:xfrm>
        <a:custGeom>
          <a:avLst/>
          <a:gdLst>
            <a:gd name="connsiteX0" fmla="*/ 672353 w 1120588"/>
            <a:gd name="connsiteY0" fmla="*/ 1389529 h 1389529"/>
            <a:gd name="connsiteX1" fmla="*/ 504265 w 1120588"/>
            <a:gd name="connsiteY1" fmla="*/ 571500 h 1389529"/>
            <a:gd name="connsiteX2" fmla="*/ 0 w 1120588"/>
            <a:gd name="connsiteY2" fmla="*/ 571500 h 1389529"/>
            <a:gd name="connsiteX3" fmla="*/ 0 w 1120588"/>
            <a:gd name="connsiteY3" fmla="*/ 0 h 1389529"/>
            <a:gd name="connsiteX4" fmla="*/ 1120588 w 1120588"/>
            <a:gd name="connsiteY4" fmla="*/ 0 h 1389529"/>
            <a:gd name="connsiteX0" fmla="*/ 779191 w 1120588"/>
            <a:gd name="connsiteY0" fmla="*/ 1911334 h 1911334"/>
            <a:gd name="connsiteX1" fmla="*/ 504265 w 1120588"/>
            <a:gd name="connsiteY1" fmla="*/ 571500 h 1911334"/>
            <a:gd name="connsiteX2" fmla="*/ 0 w 1120588"/>
            <a:gd name="connsiteY2" fmla="*/ 571500 h 1911334"/>
            <a:gd name="connsiteX3" fmla="*/ 0 w 1120588"/>
            <a:gd name="connsiteY3" fmla="*/ 0 h 1911334"/>
            <a:gd name="connsiteX4" fmla="*/ 1120588 w 1120588"/>
            <a:gd name="connsiteY4" fmla="*/ 0 h 19113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120588" h="1911334">
              <a:moveTo>
                <a:pt x="779191" y="1911334"/>
              </a:moveTo>
              <a:lnTo>
                <a:pt x="504265" y="571500"/>
              </a:lnTo>
              <a:lnTo>
                <a:pt x="0" y="571500"/>
              </a:lnTo>
              <a:lnTo>
                <a:pt x="0" y="0"/>
              </a:lnTo>
              <a:lnTo>
                <a:pt x="1120588" y="0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179294</xdr:colOff>
      <xdr:row>3</xdr:row>
      <xdr:rowOff>126061</xdr:rowOff>
    </xdr:from>
    <xdr:to>
      <xdr:col>6</xdr:col>
      <xdr:colOff>358588</xdr:colOff>
      <xdr:row>3</xdr:row>
      <xdr:rowOff>126061</xdr:rowOff>
    </xdr:to>
    <xdr:sp macro="" textlink="">
      <xdr:nvSpPr>
        <xdr:cNvPr id="363" name="Полилиния 362"/>
        <xdr:cNvSpPr/>
      </xdr:nvSpPr>
      <xdr:spPr>
        <a:xfrm>
          <a:off x="1725706" y="1022532"/>
          <a:ext cx="4247029" cy="0"/>
        </a:xfrm>
        <a:custGeom>
          <a:avLst/>
          <a:gdLst>
            <a:gd name="connsiteX0" fmla="*/ 0 w 4247029"/>
            <a:gd name="connsiteY0" fmla="*/ 0 h 0"/>
            <a:gd name="connsiteX1" fmla="*/ 4247029 w 4247029"/>
            <a:gd name="connsiteY1" fmla="*/ 0 h 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247029">
              <a:moveTo>
                <a:pt x="0" y="0"/>
              </a:moveTo>
              <a:lnTo>
                <a:pt x="4247029" y="0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175075</xdr:colOff>
      <xdr:row>3</xdr:row>
      <xdr:rowOff>1277376</xdr:rowOff>
    </xdr:from>
    <xdr:to>
      <xdr:col>4</xdr:col>
      <xdr:colOff>175075</xdr:colOff>
      <xdr:row>3</xdr:row>
      <xdr:rowOff>1277376</xdr:rowOff>
    </xdr:to>
    <xdr:cxnSp macro="">
      <xdr:nvCxnSpPr>
        <xdr:cNvPr id="364" name="Прямая соединительная линия 363"/>
        <xdr:cNvCxnSpPr/>
      </xdr:nvCxnSpPr>
      <xdr:spPr>
        <a:xfrm>
          <a:off x="3301516" y="2173847"/>
          <a:ext cx="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1464595</xdr:colOff>
      <xdr:row>3</xdr:row>
      <xdr:rowOff>1141805</xdr:rowOff>
    </xdr:from>
    <xdr:to>
      <xdr:col>4</xdr:col>
      <xdr:colOff>330772</xdr:colOff>
      <xdr:row>3</xdr:row>
      <xdr:rowOff>1202043</xdr:rowOff>
    </xdr:to>
    <xdr:grpSp>
      <xdr:nvGrpSpPr>
        <xdr:cNvPr id="365" name="Группа 364">
          <a:extLst>
            <a:ext uri="{FF2B5EF4-FFF2-40B4-BE49-F238E27FC236}">
              <a16:creationId xmlns:a16="http://schemas.microsoft.com/office/drawing/2014/main" xmlns="" id="{00000000-0008-0000-0600-000058000000}"/>
            </a:ext>
          </a:extLst>
        </xdr:cNvPr>
        <xdr:cNvGrpSpPr/>
      </xdr:nvGrpSpPr>
      <xdr:grpSpPr>
        <a:xfrm>
          <a:off x="3007645" y="2056205"/>
          <a:ext cx="447327" cy="60238"/>
          <a:chOff x="744834" y="5046016"/>
          <a:chExt cx="380479" cy="51379"/>
        </a:xfrm>
      </xdr:grpSpPr>
      <xdr:cxnSp macro="">
        <xdr:nvCxnSpPr>
          <xdr:cNvPr id="366" name="Прямая со стрелкой 365">
            <a:extLst>
              <a:ext uri="{FF2B5EF4-FFF2-40B4-BE49-F238E27FC236}">
                <a16:creationId xmlns:a16="http://schemas.microsoft.com/office/drawing/2014/main" xmlns="" id="{00000000-0008-0000-0600-00003E000000}"/>
              </a:ext>
            </a:extLst>
          </xdr:cNvPr>
          <xdr:cNvCxnSpPr/>
        </xdr:nvCxnSpPr>
        <xdr:spPr>
          <a:xfrm flipH="1">
            <a:off x="797770" y="5076837"/>
            <a:ext cx="116554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367" name="Овал 366">
            <a:extLst>
              <a:ext uri="{FF2B5EF4-FFF2-40B4-BE49-F238E27FC236}">
                <a16:creationId xmlns:a16="http://schemas.microsoft.com/office/drawing/2014/main" xmlns="" id="{00000000-0008-0000-0600-00003F000000}"/>
              </a:ext>
            </a:extLst>
          </xdr:cNvPr>
          <xdr:cNvSpPr/>
        </xdr:nvSpPr>
        <xdr:spPr>
          <a:xfrm>
            <a:off x="744834" y="5046016"/>
            <a:ext cx="46800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">
        <xdr:nvSpPr>
          <xdr:cNvPr id="368" name="Овал 367">
            <a:extLst>
              <a:ext uri="{FF2B5EF4-FFF2-40B4-BE49-F238E27FC236}">
                <a16:creationId xmlns:a16="http://schemas.microsoft.com/office/drawing/2014/main" xmlns="" id="{00000000-0008-0000-0600-000040000000}"/>
              </a:ext>
            </a:extLst>
          </xdr:cNvPr>
          <xdr:cNvSpPr/>
        </xdr:nvSpPr>
        <xdr:spPr>
          <a:xfrm>
            <a:off x="1078513" y="5046016"/>
            <a:ext cx="46800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369" name="Прямая со стрелкой 368">
            <a:extLst>
              <a:ext uri="{FF2B5EF4-FFF2-40B4-BE49-F238E27FC236}">
                <a16:creationId xmlns:a16="http://schemas.microsoft.com/office/drawing/2014/main" xmlns="" id="{00000000-0008-0000-0600-000041000000}"/>
              </a:ext>
            </a:extLst>
          </xdr:cNvPr>
          <xdr:cNvCxnSpPr/>
        </xdr:nvCxnSpPr>
        <xdr:spPr>
          <a:xfrm flipH="1">
            <a:off x="954671" y="5076837"/>
            <a:ext cx="119572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5</xdr:col>
      <xdr:colOff>219898</xdr:colOff>
      <xdr:row>3</xdr:row>
      <xdr:rowOff>1277376</xdr:rowOff>
    </xdr:from>
    <xdr:to>
      <xdr:col>5</xdr:col>
      <xdr:colOff>219898</xdr:colOff>
      <xdr:row>3</xdr:row>
      <xdr:rowOff>1277376</xdr:rowOff>
    </xdr:to>
    <xdr:cxnSp macro="">
      <xdr:nvCxnSpPr>
        <xdr:cNvPr id="370" name="Прямая соединительная линия 369"/>
        <xdr:cNvCxnSpPr/>
      </xdr:nvCxnSpPr>
      <xdr:spPr>
        <a:xfrm>
          <a:off x="4724663" y="2173847"/>
          <a:ext cx="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1348244</xdr:colOff>
      <xdr:row>3</xdr:row>
      <xdr:rowOff>1150663</xdr:rowOff>
    </xdr:from>
    <xdr:to>
      <xdr:col>5</xdr:col>
      <xdr:colOff>350399</xdr:colOff>
      <xdr:row>3</xdr:row>
      <xdr:rowOff>1202042</xdr:rowOff>
    </xdr:to>
    <xdr:grpSp>
      <xdr:nvGrpSpPr>
        <xdr:cNvPr id="371" name="Группа 370">
          <a:extLst>
            <a:ext uri="{FF2B5EF4-FFF2-40B4-BE49-F238E27FC236}">
              <a16:creationId xmlns:a16="http://schemas.microsoft.com/office/drawing/2014/main" xmlns="" id="{00000000-0008-0000-0600-000058000000}"/>
            </a:ext>
          </a:extLst>
        </xdr:cNvPr>
        <xdr:cNvGrpSpPr/>
      </xdr:nvGrpSpPr>
      <xdr:grpSpPr>
        <a:xfrm>
          <a:off x="4472444" y="2065063"/>
          <a:ext cx="383280" cy="51379"/>
          <a:chOff x="744834" y="5046016"/>
          <a:chExt cx="380479" cy="51379"/>
        </a:xfrm>
      </xdr:grpSpPr>
      <xdr:cxnSp macro="">
        <xdr:nvCxnSpPr>
          <xdr:cNvPr id="372" name="Прямая со стрелкой 371">
            <a:extLst>
              <a:ext uri="{FF2B5EF4-FFF2-40B4-BE49-F238E27FC236}">
                <a16:creationId xmlns:a16="http://schemas.microsoft.com/office/drawing/2014/main" xmlns="" id="{00000000-0008-0000-0600-00003E000000}"/>
              </a:ext>
            </a:extLst>
          </xdr:cNvPr>
          <xdr:cNvCxnSpPr/>
        </xdr:nvCxnSpPr>
        <xdr:spPr>
          <a:xfrm flipH="1">
            <a:off x="797770" y="5076837"/>
            <a:ext cx="116554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373" name="Овал 372">
            <a:extLst>
              <a:ext uri="{FF2B5EF4-FFF2-40B4-BE49-F238E27FC236}">
                <a16:creationId xmlns:a16="http://schemas.microsoft.com/office/drawing/2014/main" xmlns="" id="{00000000-0008-0000-0600-00003F000000}"/>
              </a:ext>
            </a:extLst>
          </xdr:cNvPr>
          <xdr:cNvSpPr/>
        </xdr:nvSpPr>
        <xdr:spPr>
          <a:xfrm>
            <a:off x="744834" y="5046016"/>
            <a:ext cx="46800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">
        <xdr:nvSpPr>
          <xdr:cNvPr id="374" name="Овал 373">
            <a:extLst>
              <a:ext uri="{FF2B5EF4-FFF2-40B4-BE49-F238E27FC236}">
                <a16:creationId xmlns:a16="http://schemas.microsoft.com/office/drawing/2014/main" xmlns="" id="{00000000-0008-0000-0600-000040000000}"/>
              </a:ext>
            </a:extLst>
          </xdr:cNvPr>
          <xdr:cNvSpPr/>
        </xdr:nvSpPr>
        <xdr:spPr>
          <a:xfrm>
            <a:off x="1078513" y="5046016"/>
            <a:ext cx="46800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375" name="Прямая со стрелкой 374">
            <a:extLst>
              <a:ext uri="{FF2B5EF4-FFF2-40B4-BE49-F238E27FC236}">
                <a16:creationId xmlns:a16="http://schemas.microsoft.com/office/drawing/2014/main" xmlns="" id="{00000000-0008-0000-0600-000041000000}"/>
              </a:ext>
            </a:extLst>
          </xdr:cNvPr>
          <xdr:cNvCxnSpPr/>
        </xdr:nvCxnSpPr>
        <xdr:spPr>
          <a:xfrm flipH="1">
            <a:off x="954671" y="5076837"/>
            <a:ext cx="119572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107674</xdr:colOff>
      <xdr:row>3</xdr:row>
      <xdr:rowOff>844335</xdr:rowOff>
    </xdr:from>
    <xdr:to>
      <xdr:col>6</xdr:col>
      <xdr:colOff>331305</xdr:colOff>
      <xdr:row>3</xdr:row>
      <xdr:rowOff>1175845</xdr:rowOff>
    </xdr:to>
    <xdr:sp macro="" textlink="">
      <xdr:nvSpPr>
        <xdr:cNvPr id="376" name="Полилиния 375"/>
        <xdr:cNvSpPr/>
      </xdr:nvSpPr>
      <xdr:spPr>
        <a:xfrm>
          <a:off x="3227933" y="1711438"/>
          <a:ext cx="2719838" cy="331510"/>
        </a:xfrm>
        <a:custGeom>
          <a:avLst/>
          <a:gdLst>
            <a:gd name="connsiteX0" fmla="*/ 0 w 2724979"/>
            <a:gd name="connsiteY0" fmla="*/ 455543 h 455543"/>
            <a:gd name="connsiteX1" fmla="*/ 0 w 2724979"/>
            <a:gd name="connsiteY1" fmla="*/ 0 h 455543"/>
            <a:gd name="connsiteX2" fmla="*/ 2724979 w 2724979"/>
            <a:gd name="connsiteY2" fmla="*/ 0 h 45554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724979" h="455543">
              <a:moveTo>
                <a:pt x="0" y="455543"/>
              </a:moveTo>
              <a:lnTo>
                <a:pt x="0" y="0"/>
              </a:lnTo>
              <a:lnTo>
                <a:pt x="2724979" y="0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123825</xdr:colOff>
      <xdr:row>3</xdr:row>
      <xdr:rowOff>2714548</xdr:rowOff>
    </xdr:from>
    <xdr:to>
      <xdr:col>5</xdr:col>
      <xdr:colOff>718384</xdr:colOff>
      <xdr:row>3</xdr:row>
      <xdr:rowOff>2934356</xdr:rowOff>
    </xdr:to>
    <xdr:sp macro="" textlink="">
      <xdr:nvSpPr>
        <xdr:cNvPr id="383" name="Прямоугольник 382"/>
        <xdr:cNvSpPr/>
      </xdr:nvSpPr>
      <xdr:spPr>
        <a:xfrm>
          <a:off x="3246368" y="3575939"/>
          <a:ext cx="1977755" cy="219808"/>
        </a:xfrm>
        <a:prstGeom prst="rect">
          <a:avLst/>
        </a:prstGeom>
        <a:solidFill>
          <a:srgbClr val="00B050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 b="1"/>
            <a:t>SKODA</a:t>
          </a:r>
          <a:endParaRPr lang="ru-RU" sz="1400" b="1"/>
        </a:p>
      </xdr:txBody>
    </xdr:sp>
    <xdr:clientData/>
  </xdr:twoCellAnchor>
  <xdr:twoCellAnchor editAs="oneCell">
    <xdr:from>
      <xdr:col>4</xdr:col>
      <xdr:colOff>381000</xdr:colOff>
      <xdr:row>3</xdr:row>
      <xdr:rowOff>1671352</xdr:rowOff>
    </xdr:from>
    <xdr:to>
      <xdr:col>4</xdr:col>
      <xdr:colOff>830607</xdr:colOff>
      <xdr:row>3</xdr:row>
      <xdr:rowOff>2099977</xdr:rowOff>
    </xdr:to>
    <xdr:pic>
      <xdr:nvPicPr>
        <xdr:cNvPr id="386" name="Рисунок 385" descr="Картинки по запросу знак парковка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7441" y="2567823"/>
          <a:ext cx="449607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361950</xdr:colOff>
      <xdr:row>3</xdr:row>
      <xdr:rowOff>1671352</xdr:rowOff>
    </xdr:from>
    <xdr:to>
      <xdr:col>5</xdr:col>
      <xdr:colOff>811557</xdr:colOff>
      <xdr:row>3</xdr:row>
      <xdr:rowOff>2099977</xdr:rowOff>
    </xdr:to>
    <xdr:pic>
      <xdr:nvPicPr>
        <xdr:cNvPr id="387" name="Рисунок 386" descr="Картинки по запросу знак парковка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6715" y="2567823"/>
          <a:ext cx="449607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100853</xdr:colOff>
      <xdr:row>3</xdr:row>
      <xdr:rowOff>1154202</xdr:rowOff>
    </xdr:from>
    <xdr:to>
      <xdr:col>3</xdr:col>
      <xdr:colOff>1135160</xdr:colOff>
      <xdr:row>3</xdr:row>
      <xdr:rowOff>2364436</xdr:rowOff>
    </xdr:to>
    <xdr:sp macro="" textlink="">
      <xdr:nvSpPr>
        <xdr:cNvPr id="388" name="TextBox 387"/>
        <xdr:cNvSpPr txBox="1"/>
      </xdr:nvSpPr>
      <xdr:spPr>
        <a:xfrm>
          <a:off x="1647265" y="2050673"/>
          <a:ext cx="1034307" cy="1210234"/>
        </a:xfrm>
        <a:prstGeom prst="roundRect">
          <a:avLst/>
        </a:prstGeom>
        <a:solidFill>
          <a:srgbClr val="00B050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400" b="0">
              <a:solidFill>
                <a:schemeClr val="bg1"/>
              </a:solidFill>
            </a:rPr>
            <a:t>Сброс одометра в створе</a:t>
          </a:r>
          <a:r>
            <a:rPr lang="ru-RU" sz="1400" b="0" baseline="0">
              <a:solidFill>
                <a:schemeClr val="bg1"/>
              </a:solidFill>
            </a:rPr>
            <a:t> ворот</a:t>
          </a:r>
          <a:endParaRPr lang="ru-RU" sz="14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1135850</xdr:colOff>
      <xdr:row>3</xdr:row>
      <xdr:rowOff>1325658</xdr:rowOff>
    </xdr:from>
    <xdr:to>
      <xdr:col>3</xdr:col>
      <xdr:colOff>1570120</xdr:colOff>
      <xdr:row>3</xdr:row>
      <xdr:rowOff>1756354</xdr:rowOff>
    </xdr:to>
    <xdr:sp macro="" textlink="">
      <xdr:nvSpPr>
        <xdr:cNvPr id="389" name="Полилиния 388"/>
        <xdr:cNvSpPr/>
      </xdr:nvSpPr>
      <xdr:spPr>
        <a:xfrm flipH="1" flipV="1">
          <a:off x="2682262" y="2222129"/>
          <a:ext cx="434270" cy="430696"/>
        </a:xfrm>
        <a:custGeom>
          <a:avLst/>
          <a:gdLst>
            <a:gd name="connsiteX0" fmla="*/ 343580 w 343580"/>
            <a:gd name="connsiteY0" fmla="*/ 0 h 496660"/>
            <a:gd name="connsiteX1" fmla="*/ 0 w 343580"/>
            <a:gd name="connsiteY1" fmla="*/ 496660 h 496660"/>
            <a:gd name="connsiteX2" fmla="*/ 340178 w 343580"/>
            <a:gd name="connsiteY2" fmla="*/ 425223 h 496660"/>
            <a:gd name="connsiteX3" fmla="*/ 343580 w 343580"/>
            <a:gd name="connsiteY3" fmla="*/ 0 h 496660"/>
            <a:gd name="connsiteX0" fmla="*/ 343580 w 343580"/>
            <a:gd name="connsiteY0" fmla="*/ 0 h 541981"/>
            <a:gd name="connsiteX1" fmla="*/ 0 w 343580"/>
            <a:gd name="connsiteY1" fmla="*/ 496660 h 541981"/>
            <a:gd name="connsiteX2" fmla="*/ 278726 w 343580"/>
            <a:gd name="connsiteY2" fmla="*/ 541981 h 541981"/>
            <a:gd name="connsiteX3" fmla="*/ 343580 w 343580"/>
            <a:gd name="connsiteY3" fmla="*/ 0 h 541981"/>
            <a:gd name="connsiteX0" fmla="*/ 349725 w 349725"/>
            <a:gd name="connsiteY0" fmla="*/ 0 h 581924"/>
            <a:gd name="connsiteX1" fmla="*/ 0 w 349725"/>
            <a:gd name="connsiteY1" fmla="*/ 536603 h 581924"/>
            <a:gd name="connsiteX2" fmla="*/ 278726 w 349725"/>
            <a:gd name="connsiteY2" fmla="*/ 581924 h 581924"/>
            <a:gd name="connsiteX3" fmla="*/ 349725 w 349725"/>
            <a:gd name="connsiteY3" fmla="*/ 0 h 581924"/>
            <a:gd name="connsiteX0" fmla="*/ 349725 w 349725"/>
            <a:gd name="connsiteY0" fmla="*/ 0 h 536603"/>
            <a:gd name="connsiteX1" fmla="*/ 0 w 349725"/>
            <a:gd name="connsiteY1" fmla="*/ 536603 h 536603"/>
            <a:gd name="connsiteX2" fmla="*/ 343250 w 349725"/>
            <a:gd name="connsiteY2" fmla="*/ 480529 h 536603"/>
            <a:gd name="connsiteX3" fmla="*/ 349725 w 349725"/>
            <a:gd name="connsiteY3" fmla="*/ 0 h 536603"/>
            <a:gd name="connsiteX0" fmla="*/ 349725 w 349725"/>
            <a:gd name="connsiteY0" fmla="*/ 0 h 374678"/>
            <a:gd name="connsiteX1" fmla="*/ 0 w 349725"/>
            <a:gd name="connsiteY1" fmla="*/ 374678 h 374678"/>
            <a:gd name="connsiteX2" fmla="*/ 343250 w 349725"/>
            <a:gd name="connsiteY2" fmla="*/ 318604 h 374678"/>
            <a:gd name="connsiteX3" fmla="*/ 349725 w 349725"/>
            <a:gd name="connsiteY3" fmla="*/ 0 h 3746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49725" h="374678">
              <a:moveTo>
                <a:pt x="349725" y="0"/>
              </a:moveTo>
              <a:lnTo>
                <a:pt x="0" y="374678"/>
              </a:lnTo>
              <a:lnTo>
                <a:pt x="343250" y="318604"/>
              </a:lnTo>
              <a:cubicBezTo>
                <a:pt x="345408" y="158428"/>
                <a:pt x="347567" y="160176"/>
                <a:pt x="349725" y="0"/>
              </a:cubicBezTo>
              <a:close/>
            </a:path>
          </a:pathLst>
        </a:custGeom>
        <a:solidFill>
          <a:schemeClr val="tx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179294</xdr:colOff>
      <xdr:row>3</xdr:row>
      <xdr:rowOff>526111</xdr:rowOff>
    </xdr:from>
    <xdr:to>
      <xdr:col>6</xdr:col>
      <xdr:colOff>358588</xdr:colOff>
      <xdr:row>3</xdr:row>
      <xdr:rowOff>526111</xdr:rowOff>
    </xdr:to>
    <xdr:sp macro="" textlink="">
      <xdr:nvSpPr>
        <xdr:cNvPr id="390" name="Полилиния 389"/>
        <xdr:cNvSpPr/>
      </xdr:nvSpPr>
      <xdr:spPr>
        <a:xfrm>
          <a:off x="1725706" y="1422582"/>
          <a:ext cx="4247029" cy="0"/>
        </a:xfrm>
        <a:custGeom>
          <a:avLst/>
          <a:gdLst>
            <a:gd name="connsiteX0" fmla="*/ 0 w 4247029"/>
            <a:gd name="connsiteY0" fmla="*/ 0 h 0"/>
            <a:gd name="connsiteX1" fmla="*/ 4247029 w 4247029"/>
            <a:gd name="connsiteY1" fmla="*/ 0 h 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247029">
              <a:moveTo>
                <a:pt x="0" y="0"/>
              </a:moveTo>
              <a:lnTo>
                <a:pt x="4247029" y="0"/>
              </a:lnTo>
            </a:path>
          </a:pathLst>
        </a:custGeom>
        <a:noFill/>
        <a:ln w="19050" cmpd="dbl">
          <a:solidFill>
            <a:schemeClr val="tx1"/>
          </a:solidFill>
          <a:prstDash val="solid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634900</xdr:colOff>
      <xdr:row>5</xdr:row>
      <xdr:rowOff>1375426</xdr:rowOff>
    </xdr:from>
    <xdr:to>
      <xdr:col>4</xdr:col>
      <xdr:colOff>710213</xdr:colOff>
      <xdr:row>5</xdr:row>
      <xdr:rowOff>1447426</xdr:rowOff>
    </xdr:to>
    <xdr:sp macro="" textlink="">
      <xdr:nvSpPr>
        <xdr:cNvPr id="391" name="Овал 390">
          <a:extLst>
            <a:ext uri="{FF2B5EF4-FFF2-40B4-BE49-F238E27FC236}">
              <a16:creationId xmlns:a16="http://schemas.microsoft.com/office/drawing/2014/main" xmlns="" id="{00000000-0008-0000-0900-00003D020000}"/>
            </a:ext>
          </a:extLst>
        </xdr:cNvPr>
        <xdr:cNvSpPr/>
      </xdr:nvSpPr>
      <xdr:spPr>
        <a:xfrm>
          <a:off x="3769491" y="6847971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664311</xdr:colOff>
      <xdr:row>5</xdr:row>
      <xdr:rowOff>100853</xdr:rowOff>
    </xdr:from>
    <xdr:to>
      <xdr:col>4</xdr:col>
      <xdr:colOff>664311</xdr:colOff>
      <xdr:row>5</xdr:row>
      <xdr:rowOff>1429663</xdr:rowOff>
    </xdr:to>
    <xdr:cxnSp macro="">
      <xdr:nvCxnSpPr>
        <xdr:cNvPr id="392" name="Прямая со стрелкой 391">
          <a:extLst>
            <a:ext uri="{FF2B5EF4-FFF2-40B4-BE49-F238E27FC236}">
              <a16:creationId xmlns:a16="http://schemas.microsoft.com/office/drawing/2014/main" xmlns="" id="{00000000-0008-0000-0900-00003B020000}"/>
            </a:ext>
          </a:extLst>
        </xdr:cNvPr>
        <xdr:cNvCxnSpPr/>
      </xdr:nvCxnSpPr>
      <xdr:spPr>
        <a:xfrm flipV="1">
          <a:off x="3798902" y="5573398"/>
          <a:ext cx="0" cy="1328810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1527057</xdr:colOff>
      <xdr:row>5</xdr:row>
      <xdr:rowOff>760651</xdr:rowOff>
    </xdr:from>
    <xdr:to>
      <xdr:col>4</xdr:col>
      <xdr:colOff>662421</xdr:colOff>
      <xdr:row>5</xdr:row>
      <xdr:rowOff>760651</xdr:rowOff>
    </xdr:to>
    <xdr:cxnSp macro="">
      <xdr:nvCxnSpPr>
        <xdr:cNvPr id="393" name="Прямая со стрелкой 392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 flipH="1">
          <a:off x="3085693" y="6233196"/>
          <a:ext cx="711319" cy="0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1571880</xdr:colOff>
      <xdr:row>6</xdr:row>
      <xdr:rowOff>638737</xdr:rowOff>
    </xdr:from>
    <xdr:to>
      <xdr:col>4</xdr:col>
      <xdr:colOff>1351837</xdr:colOff>
      <xdr:row>6</xdr:row>
      <xdr:rowOff>862853</xdr:rowOff>
    </xdr:to>
    <xdr:cxnSp macro="">
      <xdr:nvCxnSpPr>
        <xdr:cNvPr id="404" name="Прямая со стрелкой 403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>
          <a:off x="3130516" y="7635282"/>
          <a:ext cx="1355912" cy="224116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612338</xdr:colOff>
      <xdr:row>6</xdr:row>
      <xdr:rowOff>1383458</xdr:rowOff>
    </xdr:from>
    <xdr:to>
      <xdr:col>4</xdr:col>
      <xdr:colOff>684338</xdr:colOff>
      <xdr:row>6</xdr:row>
      <xdr:rowOff>1455458</xdr:rowOff>
    </xdr:to>
    <xdr:sp macro="" textlink="">
      <xdr:nvSpPr>
        <xdr:cNvPr id="405" name="Овал 404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 rot="6648108">
          <a:off x="3746929" y="8380003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647033</xdr:colOff>
      <xdr:row>6</xdr:row>
      <xdr:rowOff>747410</xdr:rowOff>
    </xdr:from>
    <xdr:to>
      <xdr:col>4</xdr:col>
      <xdr:colOff>647033</xdr:colOff>
      <xdr:row>6</xdr:row>
      <xdr:rowOff>1409144</xdr:rowOff>
    </xdr:to>
    <xdr:cxnSp macro="">
      <xdr:nvCxnSpPr>
        <xdr:cNvPr id="406" name="Прямая со стрелкой 40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3781624" y="7743955"/>
          <a:ext cx="0" cy="661734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1504645</xdr:colOff>
      <xdr:row>7</xdr:row>
      <xdr:rowOff>649942</xdr:rowOff>
    </xdr:from>
    <xdr:to>
      <xdr:col>4</xdr:col>
      <xdr:colOff>634661</xdr:colOff>
      <xdr:row>7</xdr:row>
      <xdr:rowOff>762001</xdr:rowOff>
    </xdr:to>
    <xdr:cxnSp macro="">
      <xdr:nvCxnSpPr>
        <xdr:cNvPr id="410" name="Прямая со стрелкой 409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>
          <a:off x="3063281" y="9170487"/>
          <a:ext cx="705971" cy="112059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612338</xdr:colOff>
      <xdr:row>7</xdr:row>
      <xdr:rowOff>1338634</xdr:rowOff>
    </xdr:from>
    <xdr:to>
      <xdr:col>4</xdr:col>
      <xdr:colOff>684338</xdr:colOff>
      <xdr:row>7</xdr:row>
      <xdr:rowOff>1410634</xdr:rowOff>
    </xdr:to>
    <xdr:sp macro="" textlink="">
      <xdr:nvSpPr>
        <xdr:cNvPr id="411" name="Овал 410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 rot="6648108">
          <a:off x="3746929" y="9859179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647033</xdr:colOff>
      <xdr:row>7</xdr:row>
      <xdr:rowOff>100853</xdr:rowOff>
    </xdr:from>
    <xdr:to>
      <xdr:col>4</xdr:col>
      <xdr:colOff>647033</xdr:colOff>
      <xdr:row>7</xdr:row>
      <xdr:rowOff>1364320</xdr:rowOff>
    </xdr:to>
    <xdr:cxnSp macro="">
      <xdr:nvCxnSpPr>
        <xdr:cNvPr id="412" name="Прямая со стрелкой 411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3781624" y="8621398"/>
          <a:ext cx="0" cy="126346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645867</xdr:colOff>
      <xdr:row>7</xdr:row>
      <xdr:rowOff>649942</xdr:rowOff>
    </xdr:from>
    <xdr:to>
      <xdr:col>4</xdr:col>
      <xdr:colOff>1340631</xdr:colOff>
      <xdr:row>7</xdr:row>
      <xdr:rowOff>1030942</xdr:rowOff>
    </xdr:to>
    <xdr:cxnSp macro="">
      <xdr:nvCxnSpPr>
        <xdr:cNvPr id="417" name="Прямая со стрелкой 416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>
          <a:off x="3780458" y="9170487"/>
          <a:ext cx="694764" cy="381000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1527057</xdr:colOff>
      <xdr:row>7</xdr:row>
      <xdr:rowOff>818030</xdr:rowOff>
    </xdr:from>
    <xdr:to>
      <xdr:col>4</xdr:col>
      <xdr:colOff>634661</xdr:colOff>
      <xdr:row>7</xdr:row>
      <xdr:rowOff>930089</xdr:rowOff>
    </xdr:to>
    <xdr:cxnSp macro="">
      <xdr:nvCxnSpPr>
        <xdr:cNvPr id="420" name="Прямая со стрелкой 419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>
          <a:off x="3085693" y="9338575"/>
          <a:ext cx="683559" cy="112059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1558279</xdr:colOff>
      <xdr:row>8</xdr:row>
      <xdr:rowOff>711174</xdr:rowOff>
    </xdr:from>
    <xdr:to>
      <xdr:col>4</xdr:col>
      <xdr:colOff>755529</xdr:colOff>
      <xdr:row>8</xdr:row>
      <xdr:rowOff>775487</xdr:rowOff>
    </xdr:to>
    <xdr:cxnSp macro="">
      <xdr:nvCxnSpPr>
        <xdr:cNvPr id="474" name="Прямая со стрелкой 473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>
          <a:off x="3095417" y="10761691"/>
          <a:ext cx="780371" cy="64313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726636</xdr:colOff>
      <xdr:row>8</xdr:row>
      <xdr:rowOff>1352241</xdr:rowOff>
    </xdr:from>
    <xdr:to>
      <xdr:col>4</xdr:col>
      <xdr:colOff>798636</xdr:colOff>
      <xdr:row>8</xdr:row>
      <xdr:rowOff>1424241</xdr:rowOff>
    </xdr:to>
    <xdr:sp macro="" textlink="">
      <xdr:nvSpPr>
        <xdr:cNvPr id="475" name="Овал 474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 rot="6648108">
          <a:off x="3861227" y="11396786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761331</xdr:colOff>
      <xdr:row>8</xdr:row>
      <xdr:rowOff>114460</xdr:rowOff>
    </xdr:from>
    <xdr:to>
      <xdr:col>4</xdr:col>
      <xdr:colOff>761331</xdr:colOff>
      <xdr:row>8</xdr:row>
      <xdr:rowOff>1377927</xdr:rowOff>
    </xdr:to>
    <xdr:cxnSp macro="">
      <xdr:nvCxnSpPr>
        <xdr:cNvPr id="476" name="Прямая со стрелкой 47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3895922" y="10159005"/>
          <a:ext cx="0" cy="126346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570831</xdr:colOff>
      <xdr:row>8</xdr:row>
      <xdr:rowOff>114460</xdr:rowOff>
    </xdr:from>
    <xdr:to>
      <xdr:col>4</xdr:col>
      <xdr:colOff>570831</xdr:colOff>
      <xdr:row>8</xdr:row>
      <xdr:rowOff>1377927</xdr:rowOff>
    </xdr:to>
    <xdr:cxnSp macro="">
      <xdr:nvCxnSpPr>
        <xdr:cNvPr id="478" name="Прямая со стрелкой 477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3705422" y="10159005"/>
          <a:ext cx="0" cy="126346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612338</xdr:colOff>
      <xdr:row>9</xdr:row>
      <xdr:rowOff>1355199</xdr:rowOff>
    </xdr:from>
    <xdr:to>
      <xdr:col>4</xdr:col>
      <xdr:colOff>684338</xdr:colOff>
      <xdr:row>9</xdr:row>
      <xdr:rowOff>1427199</xdr:rowOff>
    </xdr:to>
    <xdr:sp macro="" textlink="">
      <xdr:nvSpPr>
        <xdr:cNvPr id="541" name="Овал 540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 rot="6648108">
          <a:off x="3746929" y="12923744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647033</xdr:colOff>
      <xdr:row>9</xdr:row>
      <xdr:rowOff>770283</xdr:rowOff>
    </xdr:from>
    <xdr:to>
      <xdr:col>4</xdr:col>
      <xdr:colOff>647033</xdr:colOff>
      <xdr:row>9</xdr:row>
      <xdr:rowOff>1380887</xdr:rowOff>
    </xdr:to>
    <xdr:cxnSp macro="">
      <xdr:nvCxnSpPr>
        <xdr:cNvPr id="542" name="Прямая со стрелкой 541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3781624" y="12338828"/>
          <a:ext cx="0" cy="610604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764793</xdr:colOff>
      <xdr:row>9</xdr:row>
      <xdr:rowOff>57979</xdr:rowOff>
    </xdr:from>
    <xdr:to>
      <xdr:col>4</xdr:col>
      <xdr:colOff>1066801</xdr:colOff>
      <xdr:row>9</xdr:row>
      <xdr:rowOff>774186</xdr:rowOff>
    </xdr:to>
    <xdr:cxnSp macro="">
      <xdr:nvCxnSpPr>
        <xdr:cNvPr id="543" name="Прямая со стрелкой 542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3896137" y="11636807"/>
          <a:ext cx="302008" cy="71620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1511954</xdr:colOff>
      <xdr:row>9</xdr:row>
      <xdr:rowOff>776199</xdr:rowOff>
    </xdr:from>
    <xdr:to>
      <xdr:col>4</xdr:col>
      <xdr:colOff>1366405</xdr:colOff>
      <xdr:row>9</xdr:row>
      <xdr:rowOff>776199</xdr:rowOff>
    </xdr:to>
    <xdr:cxnSp macro="">
      <xdr:nvCxnSpPr>
        <xdr:cNvPr id="551" name="Прямая соединительная линия 550"/>
        <xdr:cNvCxnSpPr/>
      </xdr:nvCxnSpPr>
      <xdr:spPr>
        <a:xfrm>
          <a:off x="3070590" y="12344744"/>
          <a:ext cx="1430406" cy="0"/>
        </a:xfrm>
        <a:prstGeom prst="line">
          <a:avLst/>
        </a:prstGeom>
        <a:ln w="1905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497070</xdr:colOff>
      <xdr:row>9</xdr:row>
      <xdr:rowOff>57979</xdr:rowOff>
    </xdr:from>
    <xdr:to>
      <xdr:col>4</xdr:col>
      <xdr:colOff>799078</xdr:colOff>
      <xdr:row>9</xdr:row>
      <xdr:rowOff>774186</xdr:rowOff>
    </xdr:to>
    <xdr:cxnSp macro="">
      <xdr:nvCxnSpPr>
        <xdr:cNvPr id="555" name="Прямая со стрелкой 554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3628414" y="11636807"/>
          <a:ext cx="302008" cy="71620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532278</xdr:colOff>
      <xdr:row>10</xdr:row>
      <xdr:rowOff>2694214</xdr:rowOff>
    </xdr:from>
    <xdr:to>
      <xdr:col>4</xdr:col>
      <xdr:colOff>684368</xdr:colOff>
      <xdr:row>10</xdr:row>
      <xdr:rowOff>2838095</xdr:rowOff>
    </xdr:to>
    <xdr:sp macro="" textlink="">
      <xdr:nvSpPr>
        <xdr:cNvPr id="557" name="Овал 55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3658719" y="15782685"/>
          <a:ext cx="152090" cy="143881"/>
        </a:xfrm>
        <a:prstGeom prst="ellipse">
          <a:avLst/>
        </a:prstGeom>
        <a:solidFill>
          <a:schemeClr val="tx1"/>
        </a:solidFill>
        <a:ln w="349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828675</xdr:colOff>
      <xdr:row>10</xdr:row>
      <xdr:rowOff>161925</xdr:rowOff>
    </xdr:from>
    <xdr:to>
      <xdr:col>4</xdr:col>
      <xdr:colOff>219075</xdr:colOff>
      <xdr:row>10</xdr:row>
      <xdr:rowOff>2828925</xdr:rowOff>
    </xdr:to>
    <xdr:sp macro="" textlink="">
      <xdr:nvSpPr>
        <xdr:cNvPr id="564" name="Полилиния 563"/>
        <xdr:cNvSpPr/>
      </xdr:nvSpPr>
      <xdr:spPr>
        <a:xfrm>
          <a:off x="2371725" y="13230225"/>
          <a:ext cx="971550" cy="2667000"/>
        </a:xfrm>
        <a:custGeom>
          <a:avLst/>
          <a:gdLst>
            <a:gd name="connsiteX0" fmla="*/ 971550 w 971550"/>
            <a:gd name="connsiteY0" fmla="*/ 2667000 h 2667000"/>
            <a:gd name="connsiteX1" fmla="*/ 0 w 971550"/>
            <a:gd name="connsiteY1" fmla="*/ 0 h 2667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971550" h="2667000">
              <a:moveTo>
                <a:pt x="971550" y="2667000"/>
              </a:moveTo>
              <a:lnTo>
                <a:pt x="0" y="0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1152525</xdr:colOff>
      <xdr:row>10</xdr:row>
      <xdr:rowOff>142875</xdr:rowOff>
    </xdr:from>
    <xdr:to>
      <xdr:col>4</xdr:col>
      <xdr:colOff>933450</xdr:colOff>
      <xdr:row>10</xdr:row>
      <xdr:rowOff>933450</xdr:rowOff>
    </xdr:to>
    <xdr:sp macro="" textlink="">
      <xdr:nvSpPr>
        <xdr:cNvPr id="565" name="Полилиния 564"/>
        <xdr:cNvSpPr/>
      </xdr:nvSpPr>
      <xdr:spPr>
        <a:xfrm>
          <a:off x="2695575" y="13211175"/>
          <a:ext cx="1362075" cy="790575"/>
        </a:xfrm>
        <a:custGeom>
          <a:avLst/>
          <a:gdLst>
            <a:gd name="connsiteX0" fmla="*/ 0 w 1362075"/>
            <a:gd name="connsiteY0" fmla="*/ 0 h 790575"/>
            <a:gd name="connsiteX1" fmla="*/ 304800 w 1362075"/>
            <a:gd name="connsiteY1" fmla="*/ 790575 h 790575"/>
            <a:gd name="connsiteX2" fmla="*/ 1123950 w 1362075"/>
            <a:gd name="connsiteY2" fmla="*/ 790575 h 790575"/>
            <a:gd name="connsiteX3" fmla="*/ 1362075 w 1362075"/>
            <a:gd name="connsiteY3" fmla="*/ 28575 h 7905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362075" h="790575">
              <a:moveTo>
                <a:pt x="0" y="0"/>
              </a:moveTo>
              <a:lnTo>
                <a:pt x="304800" y="790575"/>
              </a:lnTo>
              <a:lnTo>
                <a:pt x="1123950" y="790575"/>
              </a:lnTo>
              <a:lnTo>
                <a:pt x="1362075" y="28575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1458058</xdr:colOff>
      <xdr:row>10</xdr:row>
      <xdr:rowOff>933450</xdr:rowOff>
    </xdr:from>
    <xdr:to>
      <xdr:col>4</xdr:col>
      <xdr:colOff>688732</xdr:colOff>
      <xdr:row>10</xdr:row>
      <xdr:rowOff>2562225</xdr:rowOff>
    </xdr:to>
    <xdr:sp macro="" textlink="">
      <xdr:nvSpPr>
        <xdr:cNvPr id="566" name="Полилиния 565"/>
        <xdr:cNvSpPr/>
      </xdr:nvSpPr>
      <xdr:spPr>
        <a:xfrm>
          <a:off x="2995196" y="13992553"/>
          <a:ext cx="813795" cy="1628775"/>
        </a:xfrm>
        <a:custGeom>
          <a:avLst/>
          <a:gdLst>
            <a:gd name="connsiteX0" fmla="*/ 0 w 838200"/>
            <a:gd name="connsiteY0" fmla="*/ 0 h 1628775"/>
            <a:gd name="connsiteX1" fmla="*/ 590550 w 838200"/>
            <a:gd name="connsiteY1" fmla="*/ 1628775 h 1628775"/>
            <a:gd name="connsiteX2" fmla="*/ 838200 w 838200"/>
            <a:gd name="connsiteY2" fmla="*/ 9525 h 1628775"/>
            <a:gd name="connsiteX0" fmla="*/ 0 w 838200"/>
            <a:gd name="connsiteY0" fmla="*/ 0 h 1628775"/>
            <a:gd name="connsiteX1" fmla="*/ 590550 w 838200"/>
            <a:gd name="connsiteY1" fmla="*/ 1628775 h 1628775"/>
            <a:gd name="connsiteX2" fmla="*/ 838200 w 838200"/>
            <a:gd name="connsiteY2" fmla="*/ 9525 h 1628775"/>
            <a:gd name="connsiteX3" fmla="*/ 0 w 838200"/>
            <a:gd name="connsiteY3" fmla="*/ 0 h 16287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838200" h="1628775">
              <a:moveTo>
                <a:pt x="0" y="0"/>
              </a:moveTo>
              <a:lnTo>
                <a:pt x="590550" y="1628775"/>
              </a:lnTo>
              <a:lnTo>
                <a:pt x="838200" y="9525"/>
              </a:lnTo>
              <a:lnTo>
                <a:pt x="0" y="0"/>
              </a:lnTo>
              <a:close/>
            </a:path>
          </a:pathLst>
        </a:custGeom>
        <a:solidFill>
          <a:schemeClr val="bg1">
            <a:lumMod val="95000"/>
          </a:schemeClr>
        </a:solidFill>
        <a:ln w="19050">
          <a:solidFill>
            <a:schemeClr val="tx1"/>
          </a:solidFill>
          <a:prstDash val="sysDot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925286</xdr:colOff>
      <xdr:row>10</xdr:row>
      <xdr:rowOff>161925</xdr:rowOff>
    </xdr:from>
    <xdr:to>
      <xdr:col>4</xdr:col>
      <xdr:colOff>1315811</xdr:colOff>
      <xdr:row>10</xdr:row>
      <xdr:rowOff>2876550</xdr:rowOff>
    </xdr:to>
    <xdr:sp macro="" textlink="">
      <xdr:nvSpPr>
        <xdr:cNvPr id="567" name="Полилиния 566"/>
        <xdr:cNvSpPr/>
      </xdr:nvSpPr>
      <xdr:spPr>
        <a:xfrm>
          <a:off x="4054929" y="13224782"/>
          <a:ext cx="390525" cy="2714625"/>
        </a:xfrm>
        <a:custGeom>
          <a:avLst/>
          <a:gdLst>
            <a:gd name="connsiteX0" fmla="*/ 0 w 390525"/>
            <a:gd name="connsiteY0" fmla="*/ 2714625 h 2714625"/>
            <a:gd name="connsiteX1" fmla="*/ 66675 w 390525"/>
            <a:gd name="connsiteY1" fmla="*/ 1066800 h 2714625"/>
            <a:gd name="connsiteX2" fmla="*/ 390525 w 390525"/>
            <a:gd name="connsiteY2" fmla="*/ 0 h 27146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90525" h="2714625">
              <a:moveTo>
                <a:pt x="0" y="2714625"/>
              </a:moveTo>
              <a:lnTo>
                <a:pt x="66675" y="1066800"/>
              </a:lnTo>
              <a:lnTo>
                <a:pt x="390525" y="0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200026</xdr:colOff>
      <xdr:row>10</xdr:row>
      <xdr:rowOff>1454278</xdr:rowOff>
    </xdr:from>
    <xdr:to>
      <xdr:col>4</xdr:col>
      <xdr:colOff>542925</xdr:colOff>
      <xdr:row>10</xdr:row>
      <xdr:rowOff>1781175</xdr:rowOff>
    </xdr:to>
    <xdr:pic>
      <xdr:nvPicPr>
        <xdr:cNvPr id="568" name="Рисунок 567" descr="Картинки по запросу знак парковка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4226" y="14522578"/>
          <a:ext cx="342899" cy="326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323850</xdr:colOff>
      <xdr:row>10</xdr:row>
      <xdr:rowOff>1095375</xdr:rowOff>
    </xdr:from>
    <xdr:to>
      <xdr:col>4</xdr:col>
      <xdr:colOff>809625</xdr:colOff>
      <xdr:row>10</xdr:row>
      <xdr:rowOff>2762250</xdr:rowOff>
    </xdr:to>
    <xdr:sp macro="" textlink="">
      <xdr:nvSpPr>
        <xdr:cNvPr id="569" name="Полилиния 568"/>
        <xdr:cNvSpPr/>
      </xdr:nvSpPr>
      <xdr:spPr>
        <a:xfrm>
          <a:off x="3448050" y="14163675"/>
          <a:ext cx="485775" cy="1666875"/>
        </a:xfrm>
        <a:custGeom>
          <a:avLst/>
          <a:gdLst>
            <a:gd name="connsiteX0" fmla="*/ 276225 w 485775"/>
            <a:gd name="connsiteY0" fmla="*/ 1666875 h 1666875"/>
            <a:gd name="connsiteX1" fmla="*/ 276225 w 485775"/>
            <a:gd name="connsiteY1" fmla="*/ 1666875 h 1666875"/>
            <a:gd name="connsiteX2" fmla="*/ 485775 w 485775"/>
            <a:gd name="connsiteY2" fmla="*/ 0 h 1666875"/>
            <a:gd name="connsiteX3" fmla="*/ 0 w 485775"/>
            <a:gd name="connsiteY3" fmla="*/ 0 h 16668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485775" h="1666875">
              <a:moveTo>
                <a:pt x="276225" y="1666875"/>
              </a:moveTo>
              <a:lnTo>
                <a:pt x="276225" y="1666875"/>
              </a:lnTo>
              <a:lnTo>
                <a:pt x="485775" y="0"/>
              </a:lnTo>
              <a:lnTo>
                <a:pt x="0" y="0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122465</xdr:colOff>
      <xdr:row>10</xdr:row>
      <xdr:rowOff>136072</xdr:rowOff>
    </xdr:from>
    <xdr:to>
      <xdr:col>6</xdr:col>
      <xdr:colOff>557893</xdr:colOff>
      <xdr:row>10</xdr:row>
      <xdr:rowOff>2394857</xdr:rowOff>
    </xdr:to>
    <xdr:sp macro="" textlink="">
      <xdr:nvSpPr>
        <xdr:cNvPr id="570" name="TextBox 569"/>
        <xdr:cNvSpPr txBox="1"/>
      </xdr:nvSpPr>
      <xdr:spPr>
        <a:xfrm>
          <a:off x="4640036" y="13198929"/>
          <a:ext cx="1551214" cy="2258785"/>
        </a:xfrm>
        <a:prstGeom prst="roundRect">
          <a:avLst/>
        </a:prstGeom>
        <a:solidFill>
          <a:srgbClr val="00B050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400" b="0">
              <a:solidFill>
                <a:schemeClr val="bg1"/>
              </a:solidFill>
            </a:rPr>
            <a:t>Сделайте фотографию</a:t>
          </a:r>
          <a:r>
            <a:rPr lang="ru-RU" sz="1400" b="0" baseline="0">
              <a:solidFill>
                <a:schemeClr val="bg1"/>
              </a:solidFill>
            </a:rPr>
            <a:t> с автомобилем и опубликуйте в </a:t>
          </a:r>
          <a:r>
            <a:rPr lang="en-US" sz="1400" b="0" baseline="0">
              <a:solidFill>
                <a:schemeClr val="bg1"/>
              </a:solidFill>
            </a:rPr>
            <a:t>INSTAGRAM </a:t>
          </a:r>
          <a:r>
            <a:rPr lang="ru-RU" sz="1400" b="0" baseline="0">
              <a:solidFill>
                <a:schemeClr val="bg1"/>
              </a:solidFill>
            </a:rPr>
            <a:t>с тэгом </a:t>
          </a:r>
          <a:r>
            <a:rPr lang="en-US" sz="1400" b="0" baseline="0">
              <a:solidFill>
                <a:schemeClr val="bg1"/>
              </a:solidFill>
            </a:rPr>
            <a:t>#skodarally2017</a:t>
          </a:r>
          <a:endParaRPr lang="ru-RU" sz="140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925287</xdr:colOff>
      <xdr:row>10</xdr:row>
      <xdr:rowOff>557892</xdr:rowOff>
    </xdr:from>
    <xdr:to>
      <xdr:col>5</xdr:col>
      <xdr:colOff>136072</xdr:colOff>
      <xdr:row>10</xdr:row>
      <xdr:rowOff>933456</xdr:rowOff>
    </xdr:to>
    <xdr:sp macro="" textlink="">
      <xdr:nvSpPr>
        <xdr:cNvPr id="571" name="Полилиния 570"/>
        <xdr:cNvSpPr/>
      </xdr:nvSpPr>
      <xdr:spPr>
        <a:xfrm>
          <a:off x="4054930" y="13620749"/>
          <a:ext cx="598713" cy="375564"/>
        </a:xfrm>
        <a:custGeom>
          <a:avLst/>
          <a:gdLst>
            <a:gd name="connsiteX0" fmla="*/ 343580 w 343580"/>
            <a:gd name="connsiteY0" fmla="*/ 0 h 496660"/>
            <a:gd name="connsiteX1" fmla="*/ 0 w 343580"/>
            <a:gd name="connsiteY1" fmla="*/ 496660 h 496660"/>
            <a:gd name="connsiteX2" fmla="*/ 340178 w 343580"/>
            <a:gd name="connsiteY2" fmla="*/ 425223 h 496660"/>
            <a:gd name="connsiteX3" fmla="*/ 343580 w 343580"/>
            <a:gd name="connsiteY3" fmla="*/ 0 h 496660"/>
            <a:gd name="connsiteX0" fmla="*/ 343580 w 343580"/>
            <a:gd name="connsiteY0" fmla="*/ 0 h 541981"/>
            <a:gd name="connsiteX1" fmla="*/ 0 w 343580"/>
            <a:gd name="connsiteY1" fmla="*/ 496660 h 541981"/>
            <a:gd name="connsiteX2" fmla="*/ 278726 w 343580"/>
            <a:gd name="connsiteY2" fmla="*/ 541981 h 541981"/>
            <a:gd name="connsiteX3" fmla="*/ 343580 w 343580"/>
            <a:gd name="connsiteY3" fmla="*/ 0 h 541981"/>
            <a:gd name="connsiteX0" fmla="*/ 349725 w 349725"/>
            <a:gd name="connsiteY0" fmla="*/ 0 h 581924"/>
            <a:gd name="connsiteX1" fmla="*/ 0 w 349725"/>
            <a:gd name="connsiteY1" fmla="*/ 536603 h 581924"/>
            <a:gd name="connsiteX2" fmla="*/ 278726 w 349725"/>
            <a:gd name="connsiteY2" fmla="*/ 581924 h 581924"/>
            <a:gd name="connsiteX3" fmla="*/ 349725 w 349725"/>
            <a:gd name="connsiteY3" fmla="*/ 0 h 581924"/>
            <a:gd name="connsiteX0" fmla="*/ 349725 w 349725"/>
            <a:gd name="connsiteY0" fmla="*/ 0 h 536603"/>
            <a:gd name="connsiteX1" fmla="*/ 0 w 349725"/>
            <a:gd name="connsiteY1" fmla="*/ 536603 h 536603"/>
            <a:gd name="connsiteX2" fmla="*/ 343250 w 349725"/>
            <a:gd name="connsiteY2" fmla="*/ 480529 h 536603"/>
            <a:gd name="connsiteX3" fmla="*/ 349725 w 349725"/>
            <a:gd name="connsiteY3" fmla="*/ 0 h 536603"/>
            <a:gd name="connsiteX0" fmla="*/ 349725 w 349725"/>
            <a:gd name="connsiteY0" fmla="*/ 0 h 374678"/>
            <a:gd name="connsiteX1" fmla="*/ 0 w 349725"/>
            <a:gd name="connsiteY1" fmla="*/ 374678 h 374678"/>
            <a:gd name="connsiteX2" fmla="*/ 343250 w 349725"/>
            <a:gd name="connsiteY2" fmla="*/ 318604 h 374678"/>
            <a:gd name="connsiteX3" fmla="*/ 349725 w 349725"/>
            <a:gd name="connsiteY3" fmla="*/ 0 h 3746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49725" h="374678">
              <a:moveTo>
                <a:pt x="349725" y="0"/>
              </a:moveTo>
              <a:lnTo>
                <a:pt x="0" y="374678"/>
              </a:lnTo>
              <a:lnTo>
                <a:pt x="343250" y="318604"/>
              </a:lnTo>
              <a:cubicBezTo>
                <a:pt x="345408" y="158428"/>
                <a:pt x="347567" y="160176"/>
                <a:pt x="349725" y="0"/>
              </a:cubicBezTo>
              <a:close/>
            </a:path>
          </a:pathLst>
        </a:custGeom>
        <a:solidFill>
          <a:schemeClr val="tx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240925</xdr:colOff>
      <xdr:row>11</xdr:row>
      <xdr:rowOff>1024537</xdr:rowOff>
    </xdr:from>
    <xdr:to>
      <xdr:col>4</xdr:col>
      <xdr:colOff>393015</xdr:colOff>
      <xdr:row>11</xdr:row>
      <xdr:rowOff>1168418</xdr:rowOff>
    </xdr:to>
    <xdr:sp macro="" textlink="">
      <xdr:nvSpPr>
        <xdr:cNvPr id="572" name="Овал 57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3367366" y="17161008"/>
          <a:ext cx="152090" cy="143881"/>
        </a:xfrm>
        <a:prstGeom prst="ellipse">
          <a:avLst/>
        </a:prstGeom>
        <a:solidFill>
          <a:schemeClr val="tx1"/>
        </a:solidFill>
        <a:ln w="349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828675</xdr:colOff>
      <xdr:row>11</xdr:row>
      <xdr:rowOff>173130</xdr:rowOff>
    </xdr:from>
    <xdr:to>
      <xdr:col>4</xdr:col>
      <xdr:colOff>219075</xdr:colOff>
      <xdr:row>11</xdr:row>
      <xdr:rowOff>2840130</xdr:rowOff>
    </xdr:to>
    <xdr:sp macro="" textlink="">
      <xdr:nvSpPr>
        <xdr:cNvPr id="573" name="Полилиния 572"/>
        <xdr:cNvSpPr/>
      </xdr:nvSpPr>
      <xdr:spPr>
        <a:xfrm>
          <a:off x="2375087" y="16309601"/>
          <a:ext cx="970429" cy="2667000"/>
        </a:xfrm>
        <a:custGeom>
          <a:avLst/>
          <a:gdLst>
            <a:gd name="connsiteX0" fmla="*/ 971550 w 971550"/>
            <a:gd name="connsiteY0" fmla="*/ 2667000 h 2667000"/>
            <a:gd name="connsiteX1" fmla="*/ 0 w 971550"/>
            <a:gd name="connsiteY1" fmla="*/ 0 h 2667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971550" h="2667000">
              <a:moveTo>
                <a:pt x="971550" y="2667000"/>
              </a:moveTo>
              <a:lnTo>
                <a:pt x="0" y="0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1152525</xdr:colOff>
      <xdr:row>11</xdr:row>
      <xdr:rowOff>154080</xdr:rowOff>
    </xdr:from>
    <xdr:to>
      <xdr:col>4</xdr:col>
      <xdr:colOff>933450</xdr:colOff>
      <xdr:row>11</xdr:row>
      <xdr:rowOff>944655</xdr:rowOff>
    </xdr:to>
    <xdr:sp macro="" textlink="">
      <xdr:nvSpPr>
        <xdr:cNvPr id="574" name="Полилиния 573"/>
        <xdr:cNvSpPr/>
      </xdr:nvSpPr>
      <xdr:spPr>
        <a:xfrm>
          <a:off x="2698937" y="16290551"/>
          <a:ext cx="1360954" cy="790575"/>
        </a:xfrm>
        <a:custGeom>
          <a:avLst/>
          <a:gdLst>
            <a:gd name="connsiteX0" fmla="*/ 0 w 1362075"/>
            <a:gd name="connsiteY0" fmla="*/ 0 h 790575"/>
            <a:gd name="connsiteX1" fmla="*/ 304800 w 1362075"/>
            <a:gd name="connsiteY1" fmla="*/ 790575 h 790575"/>
            <a:gd name="connsiteX2" fmla="*/ 1123950 w 1362075"/>
            <a:gd name="connsiteY2" fmla="*/ 790575 h 790575"/>
            <a:gd name="connsiteX3" fmla="*/ 1362075 w 1362075"/>
            <a:gd name="connsiteY3" fmla="*/ 28575 h 7905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362075" h="790575">
              <a:moveTo>
                <a:pt x="0" y="0"/>
              </a:moveTo>
              <a:lnTo>
                <a:pt x="304800" y="790575"/>
              </a:lnTo>
              <a:lnTo>
                <a:pt x="1123950" y="790575"/>
              </a:lnTo>
              <a:lnTo>
                <a:pt x="1362075" y="28575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925286</xdr:colOff>
      <xdr:row>11</xdr:row>
      <xdr:rowOff>173130</xdr:rowOff>
    </xdr:from>
    <xdr:to>
      <xdr:col>4</xdr:col>
      <xdr:colOff>1315811</xdr:colOff>
      <xdr:row>11</xdr:row>
      <xdr:rowOff>2887755</xdr:rowOff>
    </xdr:to>
    <xdr:sp macro="" textlink="">
      <xdr:nvSpPr>
        <xdr:cNvPr id="576" name="Полилиния 575"/>
        <xdr:cNvSpPr/>
      </xdr:nvSpPr>
      <xdr:spPr>
        <a:xfrm>
          <a:off x="4051727" y="16309601"/>
          <a:ext cx="390525" cy="2714625"/>
        </a:xfrm>
        <a:custGeom>
          <a:avLst/>
          <a:gdLst>
            <a:gd name="connsiteX0" fmla="*/ 0 w 390525"/>
            <a:gd name="connsiteY0" fmla="*/ 2714625 h 2714625"/>
            <a:gd name="connsiteX1" fmla="*/ 66675 w 390525"/>
            <a:gd name="connsiteY1" fmla="*/ 1066800 h 2714625"/>
            <a:gd name="connsiteX2" fmla="*/ 390525 w 390525"/>
            <a:gd name="connsiteY2" fmla="*/ 0 h 27146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90525" h="2714625">
              <a:moveTo>
                <a:pt x="0" y="2714625"/>
              </a:moveTo>
              <a:lnTo>
                <a:pt x="66675" y="1066800"/>
              </a:lnTo>
              <a:lnTo>
                <a:pt x="390525" y="0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200026</xdr:colOff>
      <xdr:row>11</xdr:row>
      <xdr:rowOff>1465483</xdr:rowOff>
    </xdr:from>
    <xdr:to>
      <xdr:col>4</xdr:col>
      <xdr:colOff>542925</xdr:colOff>
      <xdr:row>11</xdr:row>
      <xdr:rowOff>1792380</xdr:rowOff>
    </xdr:to>
    <xdr:pic>
      <xdr:nvPicPr>
        <xdr:cNvPr id="577" name="Рисунок 576" descr="Картинки по запросу знак парковка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6467" y="17601954"/>
          <a:ext cx="342899" cy="326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1075764</xdr:colOff>
      <xdr:row>11</xdr:row>
      <xdr:rowOff>201705</xdr:rowOff>
    </xdr:from>
    <xdr:to>
      <xdr:col>4</xdr:col>
      <xdr:colOff>313765</xdr:colOff>
      <xdr:row>11</xdr:row>
      <xdr:rowOff>1098176</xdr:rowOff>
    </xdr:to>
    <xdr:sp macro="" textlink="">
      <xdr:nvSpPr>
        <xdr:cNvPr id="581" name="Полилиния 580"/>
        <xdr:cNvSpPr/>
      </xdr:nvSpPr>
      <xdr:spPr>
        <a:xfrm>
          <a:off x="2622176" y="16338176"/>
          <a:ext cx="818030" cy="896471"/>
        </a:xfrm>
        <a:custGeom>
          <a:avLst/>
          <a:gdLst>
            <a:gd name="connsiteX0" fmla="*/ 818030 w 818030"/>
            <a:gd name="connsiteY0" fmla="*/ 896471 h 896471"/>
            <a:gd name="connsiteX1" fmla="*/ 336177 w 818030"/>
            <a:gd name="connsiteY1" fmla="*/ 896471 h 896471"/>
            <a:gd name="connsiteX2" fmla="*/ 0 w 818030"/>
            <a:gd name="connsiteY2" fmla="*/ 0 h 89647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818030" h="896471">
              <a:moveTo>
                <a:pt x="818030" y="896471"/>
              </a:moveTo>
              <a:lnTo>
                <a:pt x="336177" y="896471"/>
              </a:lnTo>
              <a:lnTo>
                <a:pt x="0" y="0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962026</xdr:colOff>
      <xdr:row>13</xdr:row>
      <xdr:rowOff>190500</xdr:rowOff>
    </xdr:from>
    <xdr:to>
      <xdr:col>3</xdr:col>
      <xdr:colOff>1413934</xdr:colOff>
      <xdr:row>13</xdr:row>
      <xdr:rowOff>2847975</xdr:rowOff>
    </xdr:to>
    <xdr:sp macro="" textlink="">
      <xdr:nvSpPr>
        <xdr:cNvPr id="597" name="Полилиния 596"/>
        <xdr:cNvSpPr/>
      </xdr:nvSpPr>
      <xdr:spPr>
        <a:xfrm>
          <a:off x="2502591" y="20863891"/>
          <a:ext cx="451908" cy="2657475"/>
        </a:xfrm>
        <a:custGeom>
          <a:avLst/>
          <a:gdLst>
            <a:gd name="connsiteX0" fmla="*/ 447675 w 447675"/>
            <a:gd name="connsiteY0" fmla="*/ 2657475 h 2657475"/>
            <a:gd name="connsiteX1" fmla="*/ 447675 w 447675"/>
            <a:gd name="connsiteY1" fmla="*/ 1133475 h 2657475"/>
            <a:gd name="connsiteX2" fmla="*/ 390525 w 447675"/>
            <a:gd name="connsiteY2" fmla="*/ 752475 h 2657475"/>
            <a:gd name="connsiteX3" fmla="*/ 276225 w 447675"/>
            <a:gd name="connsiteY3" fmla="*/ 495300 h 2657475"/>
            <a:gd name="connsiteX4" fmla="*/ 0 w 447675"/>
            <a:gd name="connsiteY4" fmla="*/ 0 h 2657475"/>
            <a:gd name="connsiteX0" fmla="*/ 447675 w 447675"/>
            <a:gd name="connsiteY0" fmla="*/ 2657475 h 2657475"/>
            <a:gd name="connsiteX1" fmla="*/ 447675 w 447675"/>
            <a:gd name="connsiteY1" fmla="*/ 1133475 h 2657475"/>
            <a:gd name="connsiteX2" fmla="*/ 390525 w 447675"/>
            <a:gd name="connsiteY2" fmla="*/ 752475 h 2657475"/>
            <a:gd name="connsiteX3" fmla="*/ 276225 w 447675"/>
            <a:gd name="connsiteY3" fmla="*/ 495300 h 2657475"/>
            <a:gd name="connsiteX4" fmla="*/ 0 w 447675"/>
            <a:gd name="connsiteY4" fmla="*/ 0 h 2657475"/>
            <a:gd name="connsiteX0" fmla="*/ 447675 w 447675"/>
            <a:gd name="connsiteY0" fmla="*/ 2657475 h 2657475"/>
            <a:gd name="connsiteX1" fmla="*/ 447675 w 447675"/>
            <a:gd name="connsiteY1" fmla="*/ 1133475 h 2657475"/>
            <a:gd name="connsiteX2" fmla="*/ 390525 w 447675"/>
            <a:gd name="connsiteY2" fmla="*/ 752475 h 2657475"/>
            <a:gd name="connsiteX3" fmla="*/ 276225 w 447675"/>
            <a:gd name="connsiteY3" fmla="*/ 495300 h 2657475"/>
            <a:gd name="connsiteX4" fmla="*/ 0 w 447675"/>
            <a:gd name="connsiteY4" fmla="*/ 0 h 2657475"/>
            <a:gd name="connsiteX0" fmla="*/ 447675 w 451908"/>
            <a:gd name="connsiteY0" fmla="*/ 2657475 h 2657475"/>
            <a:gd name="connsiteX1" fmla="*/ 447675 w 451908"/>
            <a:gd name="connsiteY1" fmla="*/ 1133475 h 2657475"/>
            <a:gd name="connsiteX2" fmla="*/ 390525 w 451908"/>
            <a:gd name="connsiteY2" fmla="*/ 752475 h 2657475"/>
            <a:gd name="connsiteX3" fmla="*/ 276225 w 451908"/>
            <a:gd name="connsiteY3" fmla="*/ 495300 h 2657475"/>
            <a:gd name="connsiteX4" fmla="*/ 0 w 451908"/>
            <a:gd name="connsiteY4" fmla="*/ 0 h 26574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451908" h="2657475">
              <a:moveTo>
                <a:pt x="447675" y="2657475"/>
              </a:moveTo>
              <a:cubicBezTo>
                <a:pt x="447675" y="2149475"/>
                <a:pt x="457200" y="1450975"/>
                <a:pt x="447675" y="1133475"/>
              </a:cubicBezTo>
              <a:cubicBezTo>
                <a:pt x="438150" y="815975"/>
                <a:pt x="419100" y="858838"/>
                <a:pt x="390525" y="752475"/>
              </a:cubicBezTo>
              <a:cubicBezTo>
                <a:pt x="361950" y="646113"/>
                <a:pt x="341312" y="620712"/>
                <a:pt x="276225" y="495300"/>
              </a:cubicBezTo>
              <a:cubicBezTo>
                <a:pt x="211138" y="369888"/>
                <a:pt x="92075" y="165100"/>
                <a:pt x="0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1257300</xdr:colOff>
      <xdr:row>13</xdr:row>
      <xdr:rowOff>190500</xdr:rowOff>
    </xdr:from>
    <xdr:to>
      <xdr:col>4</xdr:col>
      <xdr:colOff>1009650</xdr:colOff>
      <xdr:row>13</xdr:row>
      <xdr:rowOff>571057</xdr:rowOff>
    </xdr:to>
    <xdr:sp macro="" textlink="">
      <xdr:nvSpPr>
        <xdr:cNvPr id="598" name="Полилиния 597"/>
        <xdr:cNvSpPr/>
      </xdr:nvSpPr>
      <xdr:spPr>
        <a:xfrm>
          <a:off x="2797865" y="20863891"/>
          <a:ext cx="1334328" cy="380557"/>
        </a:xfrm>
        <a:custGeom>
          <a:avLst/>
          <a:gdLst>
            <a:gd name="connsiteX0" fmla="*/ 0 w 1333500"/>
            <a:gd name="connsiteY0" fmla="*/ 9525 h 447675"/>
            <a:gd name="connsiteX1" fmla="*/ 238125 w 1333500"/>
            <a:gd name="connsiteY1" fmla="*/ 361950 h 447675"/>
            <a:gd name="connsiteX2" fmla="*/ 409575 w 1333500"/>
            <a:gd name="connsiteY2" fmla="*/ 447675 h 447675"/>
            <a:gd name="connsiteX3" fmla="*/ 666750 w 1333500"/>
            <a:gd name="connsiteY3" fmla="*/ 390525 h 447675"/>
            <a:gd name="connsiteX4" fmla="*/ 1009650 w 1333500"/>
            <a:gd name="connsiteY4" fmla="*/ 238125 h 447675"/>
            <a:gd name="connsiteX5" fmla="*/ 1333500 w 1333500"/>
            <a:gd name="connsiteY5" fmla="*/ 0 h 447675"/>
            <a:gd name="connsiteX0" fmla="*/ 0 w 1333500"/>
            <a:gd name="connsiteY0" fmla="*/ 9525 h 447675"/>
            <a:gd name="connsiteX1" fmla="*/ 238125 w 1333500"/>
            <a:gd name="connsiteY1" fmla="*/ 361950 h 447675"/>
            <a:gd name="connsiteX2" fmla="*/ 409575 w 1333500"/>
            <a:gd name="connsiteY2" fmla="*/ 447675 h 447675"/>
            <a:gd name="connsiteX3" fmla="*/ 666750 w 1333500"/>
            <a:gd name="connsiteY3" fmla="*/ 390525 h 447675"/>
            <a:gd name="connsiteX4" fmla="*/ 1009650 w 1333500"/>
            <a:gd name="connsiteY4" fmla="*/ 238125 h 447675"/>
            <a:gd name="connsiteX5" fmla="*/ 1333500 w 1333500"/>
            <a:gd name="connsiteY5" fmla="*/ 0 h 447675"/>
            <a:gd name="connsiteX0" fmla="*/ 0 w 1333500"/>
            <a:gd name="connsiteY0" fmla="*/ 9525 h 453097"/>
            <a:gd name="connsiteX1" fmla="*/ 238125 w 1333500"/>
            <a:gd name="connsiteY1" fmla="*/ 361950 h 453097"/>
            <a:gd name="connsiteX2" fmla="*/ 409575 w 1333500"/>
            <a:gd name="connsiteY2" fmla="*/ 447675 h 453097"/>
            <a:gd name="connsiteX3" fmla="*/ 666750 w 1333500"/>
            <a:gd name="connsiteY3" fmla="*/ 390525 h 453097"/>
            <a:gd name="connsiteX4" fmla="*/ 1009650 w 1333500"/>
            <a:gd name="connsiteY4" fmla="*/ 238125 h 453097"/>
            <a:gd name="connsiteX5" fmla="*/ 1333500 w 1333500"/>
            <a:gd name="connsiteY5" fmla="*/ 0 h 453097"/>
            <a:gd name="connsiteX0" fmla="*/ 0 w 1333500"/>
            <a:gd name="connsiteY0" fmla="*/ 9525 h 453097"/>
            <a:gd name="connsiteX1" fmla="*/ 238125 w 1333500"/>
            <a:gd name="connsiteY1" fmla="*/ 361950 h 453097"/>
            <a:gd name="connsiteX2" fmla="*/ 409575 w 1333500"/>
            <a:gd name="connsiteY2" fmla="*/ 447675 h 453097"/>
            <a:gd name="connsiteX3" fmla="*/ 666750 w 1333500"/>
            <a:gd name="connsiteY3" fmla="*/ 390525 h 453097"/>
            <a:gd name="connsiteX4" fmla="*/ 1009650 w 1333500"/>
            <a:gd name="connsiteY4" fmla="*/ 238125 h 453097"/>
            <a:gd name="connsiteX5" fmla="*/ 1333500 w 1333500"/>
            <a:gd name="connsiteY5" fmla="*/ 0 h 453097"/>
            <a:gd name="connsiteX0" fmla="*/ 0 w 1333500"/>
            <a:gd name="connsiteY0" fmla="*/ 9525 h 453097"/>
            <a:gd name="connsiteX1" fmla="*/ 238125 w 1333500"/>
            <a:gd name="connsiteY1" fmla="*/ 361950 h 453097"/>
            <a:gd name="connsiteX2" fmla="*/ 409575 w 1333500"/>
            <a:gd name="connsiteY2" fmla="*/ 447675 h 453097"/>
            <a:gd name="connsiteX3" fmla="*/ 666750 w 1333500"/>
            <a:gd name="connsiteY3" fmla="*/ 390525 h 453097"/>
            <a:gd name="connsiteX4" fmla="*/ 1009650 w 1333500"/>
            <a:gd name="connsiteY4" fmla="*/ 238125 h 453097"/>
            <a:gd name="connsiteX5" fmla="*/ 1333500 w 1333500"/>
            <a:gd name="connsiteY5" fmla="*/ 0 h 453097"/>
            <a:gd name="connsiteX0" fmla="*/ 0 w 1333500"/>
            <a:gd name="connsiteY0" fmla="*/ 9525 h 450149"/>
            <a:gd name="connsiteX1" fmla="*/ 188461 w 1333500"/>
            <a:gd name="connsiteY1" fmla="*/ 303972 h 450149"/>
            <a:gd name="connsiteX2" fmla="*/ 409575 w 1333500"/>
            <a:gd name="connsiteY2" fmla="*/ 447675 h 450149"/>
            <a:gd name="connsiteX3" fmla="*/ 666750 w 1333500"/>
            <a:gd name="connsiteY3" fmla="*/ 390525 h 450149"/>
            <a:gd name="connsiteX4" fmla="*/ 1009650 w 1333500"/>
            <a:gd name="connsiteY4" fmla="*/ 238125 h 450149"/>
            <a:gd name="connsiteX5" fmla="*/ 1333500 w 1333500"/>
            <a:gd name="connsiteY5" fmla="*/ 0 h 450149"/>
            <a:gd name="connsiteX0" fmla="*/ 0 w 1333500"/>
            <a:gd name="connsiteY0" fmla="*/ 9525 h 451966"/>
            <a:gd name="connsiteX1" fmla="*/ 188461 w 1333500"/>
            <a:gd name="connsiteY1" fmla="*/ 303972 h 451966"/>
            <a:gd name="connsiteX2" fmla="*/ 409575 w 1333500"/>
            <a:gd name="connsiteY2" fmla="*/ 447675 h 451966"/>
            <a:gd name="connsiteX3" fmla="*/ 666750 w 1333500"/>
            <a:gd name="connsiteY3" fmla="*/ 407090 h 451966"/>
            <a:gd name="connsiteX4" fmla="*/ 1009650 w 1333500"/>
            <a:gd name="connsiteY4" fmla="*/ 238125 h 451966"/>
            <a:gd name="connsiteX5" fmla="*/ 1333500 w 1333500"/>
            <a:gd name="connsiteY5" fmla="*/ 0 h 451966"/>
            <a:gd name="connsiteX0" fmla="*/ 0 w 1333500"/>
            <a:gd name="connsiteY0" fmla="*/ 9525 h 420460"/>
            <a:gd name="connsiteX1" fmla="*/ 188461 w 1333500"/>
            <a:gd name="connsiteY1" fmla="*/ 303972 h 420460"/>
            <a:gd name="connsiteX2" fmla="*/ 409575 w 1333500"/>
            <a:gd name="connsiteY2" fmla="*/ 397979 h 420460"/>
            <a:gd name="connsiteX3" fmla="*/ 666750 w 1333500"/>
            <a:gd name="connsiteY3" fmla="*/ 407090 h 420460"/>
            <a:gd name="connsiteX4" fmla="*/ 1009650 w 1333500"/>
            <a:gd name="connsiteY4" fmla="*/ 238125 h 420460"/>
            <a:gd name="connsiteX5" fmla="*/ 1333500 w 1333500"/>
            <a:gd name="connsiteY5" fmla="*/ 0 h 420460"/>
            <a:gd name="connsiteX0" fmla="*/ 0 w 1333500"/>
            <a:gd name="connsiteY0" fmla="*/ 9525 h 423152"/>
            <a:gd name="connsiteX1" fmla="*/ 196738 w 1333500"/>
            <a:gd name="connsiteY1" fmla="*/ 245994 h 423152"/>
            <a:gd name="connsiteX2" fmla="*/ 409575 w 1333500"/>
            <a:gd name="connsiteY2" fmla="*/ 397979 h 423152"/>
            <a:gd name="connsiteX3" fmla="*/ 666750 w 1333500"/>
            <a:gd name="connsiteY3" fmla="*/ 407090 h 423152"/>
            <a:gd name="connsiteX4" fmla="*/ 1009650 w 1333500"/>
            <a:gd name="connsiteY4" fmla="*/ 238125 h 423152"/>
            <a:gd name="connsiteX5" fmla="*/ 1333500 w 1333500"/>
            <a:gd name="connsiteY5" fmla="*/ 0 h 423152"/>
            <a:gd name="connsiteX0" fmla="*/ 0 w 1333500"/>
            <a:gd name="connsiteY0" fmla="*/ 9525 h 402177"/>
            <a:gd name="connsiteX1" fmla="*/ 196738 w 1333500"/>
            <a:gd name="connsiteY1" fmla="*/ 245994 h 402177"/>
            <a:gd name="connsiteX2" fmla="*/ 409575 w 1333500"/>
            <a:gd name="connsiteY2" fmla="*/ 397979 h 402177"/>
            <a:gd name="connsiteX3" fmla="*/ 675028 w 1333500"/>
            <a:gd name="connsiteY3" fmla="*/ 349111 h 402177"/>
            <a:gd name="connsiteX4" fmla="*/ 1009650 w 1333500"/>
            <a:gd name="connsiteY4" fmla="*/ 238125 h 402177"/>
            <a:gd name="connsiteX5" fmla="*/ 1333500 w 1333500"/>
            <a:gd name="connsiteY5" fmla="*/ 0 h 402177"/>
            <a:gd name="connsiteX0" fmla="*/ 0 w 1333500"/>
            <a:gd name="connsiteY0" fmla="*/ 9525 h 379834"/>
            <a:gd name="connsiteX1" fmla="*/ 196738 w 1333500"/>
            <a:gd name="connsiteY1" fmla="*/ 245994 h 379834"/>
            <a:gd name="connsiteX2" fmla="*/ 376465 w 1333500"/>
            <a:gd name="connsiteY2" fmla="*/ 373131 h 379834"/>
            <a:gd name="connsiteX3" fmla="*/ 675028 w 1333500"/>
            <a:gd name="connsiteY3" fmla="*/ 349111 h 379834"/>
            <a:gd name="connsiteX4" fmla="*/ 1009650 w 1333500"/>
            <a:gd name="connsiteY4" fmla="*/ 238125 h 379834"/>
            <a:gd name="connsiteX5" fmla="*/ 1333500 w 1333500"/>
            <a:gd name="connsiteY5" fmla="*/ 0 h 379834"/>
            <a:gd name="connsiteX0" fmla="*/ 0 w 1333500"/>
            <a:gd name="connsiteY0" fmla="*/ 9525 h 380557"/>
            <a:gd name="connsiteX1" fmla="*/ 196738 w 1333500"/>
            <a:gd name="connsiteY1" fmla="*/ 245994 h 380557"/>
            <a:gd name="connsiteX2" fmla="*/ 376465 w 1333500"/>
            <a:gd name="connsiteY2" fmla="*/ 373131 h 380557"/>
            <a:gd name="connsiteX3" fmla="*/ 675028 w 1333500"/>
            <a:gd name="connsiteY3" fmla="*/ 349111 h 380557"/>
            <a:gd name="connsiteX4" fmla="*/ 968263 w 1333500"/>
            <a:gd name="connsiteY4" fmla="*/ 213277 h 380557"/>
            <a:gd name="connsiteX5" fmla="*/ 1333500 w 1333500"/>
            <a:gd name="connsiteY5" fmla="*/ 0 h 38055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333500" h="380557">
              <a:moveTo>
                <a:pt x="0" y="9525"/>
              </a:moveTo>
              <a:cubicBezTo>
                <a:pt x="79375" y="127000"/>
                <a:pt x="133994" y="185393"/>
                <a:pt x="196738" y="245994"/>
              </a:cubicBezTo>
              <a:cubicBezTo>
                <a:pt x="259482" y="306595"/>
                <a:pt x="296750" y="355945"/>
                <a:pt x="376465" y="373131"/>
              </a:cubicBezTo>
              <a:cubicBezTo>
                <a:pt x="456180" y="390317"/>
                <a:pt x="576395" y="375753"/>
                <a:pt x="675028" y="349111"/>
              </a:cubicBezTo>
              <a:cubicBezTo>
                <a:pt x="773661" y="322469"/>
                <a:pt x="858518" y="271462"/>
                <a:pt x="968263" y="213277"/>
              </a:cubicBezTo>
              <a:cubicBezTo>
                <a:pt x="1078008" y="155092"/>
                <a:pt x="1225550" y="79375"/>
                <a:pt x="1333500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72538</xdr:colOff>
      <xdr:row>13</xdr:row>
      <xdr:rowOff>200025</xdr:rowOff>
    </xdr:from>
    <xdr:to>
      <xdr:col>5</xdr:col>
      <xdr:colOff>95249</xdr:colOff>
      <xdr:row>13</xdr:row>
      <xdr:rowOff>2847975</xdr:rowOff>
    </xdr:to>
    <xdr:sp macro="" textlink="">
      <xdr:nvSpPr>
        <xdr:cNvPr id="599" name="Полилиния 598"/>
        <xdr:cNvSpPr/>
      </xdr:nvSpPr>
      <xdr:spPr>
        <a:xfrm>
          <a:off x="3195081" y="20873416"/>
          <a:ext cx="1405907" cy="2647950"/>
        </a:xfrm>
        <a:custGeom>
          <a:avLst/>
          <a:gdLst>
            <a:gd name="connsiteX0" fmla="*/ 9525 w 1400175"/>
            <a:gd name="connsiteY0" fmla="*/ 2647950 h 2647950"/>
            <a:gd name="connsiteX1" fmla="*/ 0 w 1400175"/>
            <a:gd name="connsiteY1" fmla="*/ 1409700 h 2647950"/>
            <a:gd name="connsiteX2" fmla="*/ 76200 w 1400175"/>
            <a:gd name="connsiteY2" fmla="*/ 1047750 h 2647950"/>
            <a:gd name="connsiteX3" fmla="*/ 247650 w 1400175"/>
            <a:gd name="connsiteY3" fmla="*/ 762000 h 2647950"/>
            <a:gd name="connsiteX4" fmla="*/ 647700 w 1400175"/>
            <a:gd name="connsiteY4" fmla="*/ 438150 h 2647950"/>
            <a:gd name="connsiteX5" fmla="*/ 781050 w 1400175"/>
            <a:gd name="connsiteY5" fmla="*/ 361950 h 2647950"/>
            <a:gd name="connsiteX6" fmla="*/ 781050 w 1400175"/>
            <a:gd name="connsiteY6" fmla="*/ 361950 h 2647950"/>
            <a:gd name="connsiteX7" fmla="*/ 857250 w 1400175"/>
            <a:gd name="connsiteY7" fmla="*/ 361950 h 2647950"/>
            <a:gd name="connsiteX8" fmla="*/ 847725 w 1400175"/>
            <a:gd name="connsiteY8" fmla="*/ 457200 h 2647950"/>
            <a:gd name="connsiteX9" fmla="*/ 638175 w 1400175"/>
            <a:gd name="connsiteY9" fmla="*/ 581025 h 2647950"/>
            <a:gd name="connsiteX10" fmla="*/ 381000 w 1400175"/>
            <a:gd name="connsiteY10" fmla="*/ 828675 h 2647950"/>
            <a:gd name="connsiteX11" fmla="*/ 295275 w 1400175"/>
            <a:gd name="connsiteY11" fmla="*/ 990600 h 2647950"/>
            <a:gd name="connsiteX12" fmla="*/ 228600 w 1400175"/>
            <a:gd name="connsiteY12" fmla="*/ 1114425 h 2647950"/>
            <a:gd name="connsiteX13" fmla="*/ 152400 w 1400175"/>
            <a:gd name="connsiteY13" fmla="*/ 1409700 h 2647950"/>
            <a:gd name="connsiteX14" fmla="*/ 171450 w 1400175"/>
            <a:gd name="connsiteY14" fmla="*/ 2352675 h 2647950"/>
            <a:gd name="connsiteX15" fmla="*/ 1009650 w 1400175"/>
            <a:gd name="connsiteY15" fmla="*/ 2333625 h 2647950"/>
            <a:gd name="connsiteX16" fmla="*/ 1114425 w 1400175"/>
            <a:gd name="connsiteY16" fmla="*/ 2324100 h 2647950"/>
            <a:gd name="connsiteX17" fmla="*/ 1095375 w 1400175"/>
            <a:gd name="connsiteY17" fmla="*/ 485775 h 2647950"/>
            <a:gd name="connsiteX18" fmla="*/ 1171575 w 1400175"/>
            <a:gd name="connsiteY18" fmla="*/ 247650 h 2647950"/>
            <a:gd name="connsiteX19" fmla="*/ 1400175 w 1400175"/>
            <a:gd name="connsiteY19" fmla="*/ 0 h 2647950"/>
            <a:gd name="connsiteX0" fmla="*/ 9525 w 1400175"/>
            <a:gd name="connsiteY0" fmla="*/ 2647950 h 2647950"/>
            <a:gd name="connsiteX1" fmla="*/ 0 w 1400175"/>
            <a:gd name="connsiteY1" fmla="*/ 1409700 h 2647950"/>
            <a:gd name="connsiteX2" fmla="*/ 76200 w 1400175"/>
            <a:gd name="connsiteY2" fmla="*/ 1047750 h 2647950"/>
            <a:gd name="connsiteX3" fmla="*/ 247650 w 1400175"/>
            <a:gd name="connsiteY3" fmla="*/ 762000 h 2647950"/>
            <a:gd name="connsiteX4" fmla="*/ 647700 w 1400175"/>
            <a:gd name="connsiteY4" fmla="*/ 438150 h 2647950"/>
            <a:gd name="connsiteX5" fmla="*/ 781050 w 1400175"/>
            <a:gd name="connsiteY5" fmla="*/ 361950 h 2647950"/>
            <a:gd name="connsiteX6" fmla="*/ 781050 w 1400175"/>
            <a:gd name="connsiteY6" fmla="*/ 361950 h 2647950"/>
            <a:gd name="connsiteX7" fmla="*/ 857250 w 1400175"/>
            <a:gd name="connsiteY7" fmla="*/ 361950 h 2647950"/>
            <a:gd name="connsiteX8" fmla="*/ 847725 w 1400175"/>
            <a:gd name="connsiteY8" fmla="*/ 457200 h 2647950"/>
            <a:gd name="connsiteX9" fmla="*/ 638175 w 1400175"/>
            <a:gd name="connsiteY9" fmla="*/ 581025 h 2647950"/>
            <a:gd name="connsiteX10" fmla="*/ 381000 w 1400175"/>
            <a:gd name="connsiteY10" fmla="*/ 828675 h 2647950"/>
            <a:gd name="connsiteX11" fmla="*/ 295275 w 1400175"/>
            <a:gd name="connsiteY11" fmla="*/ 990600 h 2647950"/>
            <a:gd name="connsiteX12" fmla="*/ 228600 w 1400175"/>
            <a:gd name="connsiteY12" fmla="*/ 1114425 h 2647950"/>
            <a:gd name="connsiteX13" fmla="*/ 152400 w 1400175"/>
            <a:gd name="connsiteY13" fmla="*/ 1409700 h 2647950"/>
            <a:gd name="connsiteX14" fmla="*/ 171450 w 1400175"/>
            <a:gd name="connsiteY14" fmla="*/ 2352675 h 2647950"/>
            <a:gd name="connsiteX15" fmla="*/ 942975 w 1400175"/>
            <a:gd name="connsiteY15" fmla="*/ 2352675 h 2647950"/>
            <a:gd name="connsiteX16" fmla="*/ 1114425 w 1400175"/>
            <a:gd name="connsiteY16" fmla="*/ 2324100 h 2647950"/>
            <a:gd name="connsiteX17" fmla="*/ 1095375 w 1400175"/>
            <a:gd name="connsiteY17" fmla="*/ 485775 h 2647950"/>
            <a:gd name="connsiteX18" fmla="*/ 1171575 w 1400175"/>
            <a:gd name="connsiteY18" fmla="*/ 247650 h 2647950"/>
            <a:gd name="connsiteX19" fmla="*/ 1400175 w 1400175"/>
            <a:gd name="connsiteY19" fmla="*/ 0 h 2647950"/>
            <a:gd name="connsiteX0" fmla="*/ 9525 w 1400175"/>
            <a:gd name="connsiteY0" fmla="*/ 2647950 h 2647950"/>
            <a:gd name="connsiteX1" fmla="*/ 0 w 1400175"/>
            <a:gd name="connsiteY1" fmla="*/ 1409700 h 2647950"/>
            <a:gd name="connsiteX2" fmla="*/ 76200 w 1400175"/>
            <a:gd name="connsiteY2" fmla="*/ 1047750 h 2647950"/>
            <a:gd name="connsiteX3" fmla="*/ 247650 w 1400175"/>
            <a:gd name="connsiteY3" fmla="*/ 762000 h 2647950"/>
            <a:gd name="connsiteX4" fmla="*/ 647700 w 1400175"/>
            <a:gd name="connsiteY4" fmla="*/ 438150 h 2647950"/>
            <a:gd name="connsiteX5" fmla="*/ 781050 w 1400175"/>
            <a:gd name="connsiteY5" fmla="*/ 361950 h 2647950"/>
            <a:gd name="connsiteX6" fmla="*/ 781050 w 1400175"/>
            <a:gd name="connsiteY6" fmla="*/ 361950 h 2647950"/>
            <a:gd name="connsiteX7" fmla="*/ 857250 w 1400175"/>
            <a:gd name="connsiteY7" fmla="*/ 361950 h 2647950"/>
            <a:gd name="connsiteX8" fmla="*/ 847725 w 1400175"/>
            <a:gd name="connsiteY8" fmla="*/ 457200 h 2647950"/>
            <a:gd name="connsiteX9" fmla="*/ 638175 w 1400175"/>
            <a:gd name="connsiteY9" fmla="*/ 581025 h 2647950"/>
            <a:gd name="connsiteX10" fmla="*/ 381000 w 1400175"/>
            <a:gd name="connsiteY10" fmla="*/ 828675 h 2647950"/>
            <a:gd name="connsiteX11" fmla="*/ 295275 w 1400175"/>
            <a:gd name="connsiteY11" fmla="*/ 990600 h 2647950"/>
            <a:gd name="connsiteX12" fmla="*/ 228600 w 1400175"/>
            <a:gd name="connsiteY12" fmla="*/ 1114425 h 2647950"/>
            <a:gd name="connsiteX13" fmla="*/ 152400 w 1400175"/>
            <a:gd name="connsiteY13" fmla="*/ 1409700 h 2647950"/>
            <a:gd name="connsiteX14" fmla="*/ 171450 w 1400175"/>
            <a:gd name="connsiteY14" fmla="*/ 2352675 h 2647950"/>
            <a:gd name="connsiteX15" fmla="*/ 1114425 w 1400175"/>
            <a:gd name="connsiteY15" fmla="*/ 2324100 h 2647950"/>
            <a:gd name="connsiteX16" fmla="*/ 1095375 w 1400175"/>
            <a:gd name="connsiteY16" fmla="*/ 485775 h 2647950"/>
            <a:gd name="connsiteX17" fmla="*/ 1171575 w 1400175"/>
            <a:gd name="connsiteY17" fmla="*/ 247650 h 2647950"/>
            <a:gd name="connsiteX18" fmla="*/ 1400175 w 1400175"/>
            <a:gd name="connsiteY18" fmla="*/ 0 h 2647950"/>
            <a:gd name="connsiteX0" fmla="*/ 9525 w 1400175"/>
            <a:gd name="connsiteY0" fmla="*/ 2647950 h 2647950"/>
            <a:gd name="connsiteX1" fmla="*/ 0 w 1400175"/>
            <a:gd name="connsiteY1" fmla="*/ 1409700 h 2647950"/>
            <a:gd name="connsiteX2" fmla="*/ 76200 w 1400175"/>
            <a:gd name="connsiteY2" fmla="*/ 1047750 h 2647950"/>
            <a:gd name="connsiteX3" fmla="*/ 247650 w 1400175"/>
            <a:gd name="connsiteY3" fmla="*/ 762000 h 2647950"/>
            <a:gd name="connsiteX4" fmla="*/ 647700 w 1400175"/>
            <a:gd name="connsiteY4" fmla="*/ 438150 h 2647950"/>
            <a:gd name="connsiteX5" fmla="*/ 781050 w 1400175"/>
            <a:gd name="connsiteY5" fmla="*/ 361950 h 2647950"/>
            <a:gd name="connsiteX6" fmla="*/ 781050 w 1400175"/>
            <a:gd name="connsiteY6" fmla="*/ 361950 h 2647950"/>
            <a:gd name="connsiteX7" fmla="*/ 857250 w 1400175"/>
            <a:gd name="connsiteY7" fmla="*/ 361950 h 2647950"/>
            <a:gd name="connsiteX8" fmla="*/ 847725 w 1400175"/>
            <a:gd name="connsiteY8" fmla="*/ 457200 h 2647950"/>
            <a:gd name="connsiteX9" fmla="*/ 638175 w 1400175"/>
            <a:gd name="connsiteY9" fmla="*/ 581025 h 2647950"/>
            <a:gd name="connsiteX10" fmla="*/ 381000 w 1400175"/>
            <a:gd name="connsiteY10" fmla="*/ 828675 h 2647950"/>
            <a:gd name="connsiteX11" fmla="*/ 295275 w 1400175"/>
            <a:gd name="connsiteY11" fmla="*/ 990600 h 2647950"/>
            <a:gd name="connsiteX12" fmla="*/ 228600 w 1400175"/>
            <a:gd name="connsiteY12" fmla="*/ 1114425 h 2647950"/>
            <a:gd name="connsiteX13" fmla="*/ 152400 w 1400175"/>
            <a:gd name="connsiteY13" fmla="*/ 1409700 h 2647950"/>
            <a:gd name="connsiteX14" fmla="*/ 171450 w 1400175"/>
            <a:gd name="connsiteY14" fmla="*/ 2352675 h 2647950"/>
            <a:gd name="connsiteX15" fmla="*/ 1123950 w 1400175"/>
            <a:gd name="connsiteY15" fmla="*/ 2333625 h 2647950"/>
            <a:gd name="connsiteX16" fmla="*/ 1095375 w 1400175"/>
            <a:gd name="connsiteY16" fmla="*/ 485775 h 2647950"/>
            <a:gd name="connsiteX17" fmla="*/ 1171575 w 1400175"/>
            <a:gd name="connsiteY17" fmla="*/ 247650 h 2647950"/>
            <a:gd name="connsiteX18" fmla="*/ 1400175 w 1400175"/>
            <a:gd name="connsiteY18" fmla="*/ 0 h 2647950"/>
            <a:gd name="connsiteX0" fmla="*/ 9525 w 1400175"/>
            <a:gd name="connsiteY0" fmla="*/ 2647950 h 2647950"/>
            <a:gd name="connsiteX1" fmla="*/ 0 w 1400175"/>
            <a:gd name="connsiteY1" fmla="*/ 1409700 h 2647950"/>
            <a:gd name="connsiteX2" fmla="*/ 76200 w 1400175"/>
            <a:gd name="connsiteY2" fmla="*/ 1047750 h 2647950"/>
            <a:gd name="connsiteX3" fmla="*/ 247650 w 1400175"/>
            <a:gd name="connsiteY3" fmla="*/ 762000 h 2647950"/>
            <a:gd name="connsiteX4" fmla="*/ 647700 w 1400175"/>
            <a:gd name="connsiteY4" fmla="*/ 438150 h 2647950"/>
            <a:gd name="connsiteX5" fmla="*/ 781050 w 1400175"/>
            <a:gd name="connsiteY5" fmla="*/ 361950 h 2647950"/>
            <a:gd name="connsiteX6" fmla="*/ 781050 w 1400175"/>
            <a:gd name="connsiteY6" fmla="*/ 361950 h 2647950"/>
            <a:gd name="connsiteX7" fmla="*/ 857250 w 1400175"/>
            <a:gd name="connsiteY7" fmla="*/ 361950 h 2647950"/>
            <a:gd name="connsiteX8" fmla="*/ 847725 w 1400175"/>
            <a:gd name="connsiteY8" fmla="*/ 457200 h 2647950"/>
            <a:gd name="connsiteX9" fmla="*/ 638175 w 1400175"/>
            <a:gd name="connsiteY9" fmla="*/ 581025 h 2647950"/>
            <a:gd name="connsiteX10" fmla="*/ 381000 w 1400175"/>
            <a:gd name="connsiteY10" fmla="*/ 828675 h 2647950"/>
            <a:gd name="connsiteX11" fmla="*/ 295275 w 1400175"/>
            <a:gd name="connsiteY11" fmla="*/ 990600 h 2647950"/>
            <a:gd name="connsiteX12" fmla="*/ 228600 w 1400175"/>
            <a:gd name="connsiteY12" fmla="*/ 1114425 h 2647950"/>
            <a:gd name="connsiteX13" fmla="*/ 152400 w 1400175"/>
            <a:gd name="connsiteY13" fmla="*/ 1409700 h 2647950"/>
            <a:gd name="connsiteX14" fmla="*/ 171450 w 1400175"/>
            <a:gd name="connsiteY14" fmla="*/ 2352675 h 2647950"/>
            <a:gd name="connsiteX15" fmla="*/ 1114425 w 1400175"/>
            <a:gd name="connsiteY15" fmla="*/ 2343150 h 2647950"/>
            <a:gd name="connsiteX16" fmla="*/ 1095375 w 1400175"/>
            <a:gd name="connsiteY16" fmla="*/ 485775 h 2647950"/>
            <a:gd name="connsiteX17" fmla="*/ 1171575 w 1400175"/>
            <a:gd name="connsiteY17" fmla="*/ 247650 h 2647950"/>
            <a:gd name="connsiteX18" fmla="*/ 1400175 w 1400175"/>
            <a:gd name="connsiteY18" fmla="*/ 0 h 2647950"/>
            <a:gd name="connsiteX0" fmla="*/ 9525 w 1400175"/>
            <a:gd name="connsiteY0" fmla="*/ 2647950 h 2647950"/>
            <a:gd name="connsiteX1" fmla="*/ 0 w 1400175"/>
            <a:gd name="connsiteY1" fmla="*/ 1409700 h 2647950"/>
            <a:gd name="connsiteX2" fmla="*/ 76200 w 1400175"/>
            <a:gd name="connsiteY2" fmla="*/ 1047750 h 2647950"/>
            <a:gd name="connsiteX3" fmla="*/ 247650 w 1400175"/>
            <a:gd name="connsiteY3" fmla="*/ 762000 h 2647950"/>
            <a:gd name="connsiteX4" fmla="*/ 647700 w 1400175"/>
            <a:gd name="connsiteY4" fmla="*/ 438150 h 2647950"/>
            <a:gd name="connsiteX5" fmla="*/ 781050 w 1400175"/>
            <a:gd name="connsiteY5" fmla="*/ 361950 h 2647950"/>
            <a:gd name="connsiteX6" fmla="*/ 781050 w 1400175"/>
            <a:gd name="connsiteY6" fmla="*/ 361950 h 2647950"/>
            <a:gd name="connsiteX7" fmla="*/ 857250 w 1400175"/>
            <a:gd name="connsiteY7" fmla="*/ 361950 h 2647950"/>
            <a:gd name="connsiteX8" fmla="*/ 847725 w 1400175"/>
            <a:gd name="connsiteY8" fmla="*/ 457200 h 2647950"/>
            <a:gd name="connsiteX9" fmla="*/ 638175 w 1400175"/>
            <a:gd name="connsiteY9" fmla="*/ 581025 h 2647950"/>
            <a:gd name="connsiteX10" fmla="*/ 381000 w 1400175"/>
            <a:gd name="connsiteY10" fmla="*/ 828675 h 2647950"/>
            <a:gd name="connsiteX11" fmla="*/ 295275 w 1400175"/>
            <a:gd name="connsiteY11" fmla="*/ 990600 h 2647950"/>
            <a:gd name="connsiteX12" fmla="*/ 228600 w 1400175"/>
            <a:gd name="connsiteY12" fmla="*/ 1114425 h 2647950"/>
            <a:gd name="connsiteX13" fmla="*/ 152400 w 1400175"/>
            <a:gd name="connsiteY13" fmla="*/ 1409700 h 2647950"/>
            <a:gd name="connsiteX14" fmla="*/ 171450 w 1400175"/>
            <a:gd name="connsiteY14" fmla="*/ 2352675 h 2647950"/>
            <a:gd name="connsiteX15" fmla="*/ 1114425 w 1400175"/>
            <a:gd name="connsiteY15" fmla="*/ 2352675 h 2647950"/>
            <a:gd name="connsiteX16" fmla="*/ 1095375 w 1400175"/>
            <a:gd name="connsiteY16" fmla="*/ 485775 h 2647950"/>
            <a:gd name="connsiteX17" fmla="*/ 1171575 w 1400175"/>
            <a:gd name="connsiteY17" fmla="*/ 247650 h 2647950"/>
            <a:gd name="connsiteX18" fmla="*/ 1400175 w 1400175"/>
            <a:gd name="connsiteY18" fmla="*/ 0 h 2647950"/>
            <a:gd name="connsiteX0" fmla="*/ 9525 w 1400175"/>
            <a:gd name="connsiteY0" fmla="*/ 2647950 h 2647950"/>
            <a:gd name="connsiteX1" fmla="*/ 0 w 1400175"/>
            <a:gd name="connsiteY1" fmla="*/ 1409700 h 2647950"/>
            <a:gd name="connsiteX2" fmla="*/ 76200 w 1400175"/>
            <a:gd name="connsiteY2" fmla="*/ 1047750 h 2647950"/>
            <a:gd name="connsiteX3" fmla="*/ 247650 w 1400175"/>
            <a:gd name="connsiteY3" fmla="*/ 762000 h 2647950"/>
            <a:gd name="connsiteX4" fmla="*/ 647700 w 1400175"/>
            <a:gd name="connsiteY4" fmla="*/ 438150 h 2647950"/>
            <a:gd name="connsiteX5" fmla="*/ 781050 w 1400175"/>
            <a:gd name="connsiteY5" fmla="*/ 361950 h 2647950"/>
            <a:gd name="connsiteX6" fmla="*/ 781050 w 1400175"/>
            <a:gd name="connsiteY6" fmla="*/ 361950 h 2647950"/>
            <a:gd name="connsiteX7" fmla="*/ 857250 w 1400175"/>
            <a:gd name="connsiteY7" fmla="*/ 361950 h 2647950"/>
            <a:gd name="connsiteX8" fmla="*/ 847725 w 1400175"/>
            <a:gd name="connsiteY8" fmla="*/ 457200 h 2647950"/>
            <a:gd name="connsiteX9" fmla="*/ 638175 w 1400175"/>
            <a:gd name="connsiteY9" fmla="*/ 581025 h 2647950"/>
            <a:gd name="connsiteX10" fmla="*/ 381000 w 1400175"/>
            <a:gd name="connsiteY10" fmla="*/ 828675 h 2647950"/>
            <a:gd name="connsiteX11" fmla="*/ 295275 w 1400175"/>
            <a:gd name="connsiteY11" fmla="*/ 990600 h 2647950"/>
            <a:gd name="connsiteX12" fmla="*/ 228600 w 1400175"/>
            <a:gd name="connsiteY12" fmla="*/ 1114425 h 2647950"/>
            <a:gd name="connsiteX13" fmla="*/ 152400 w 1400175"/>
            <a:gd name="connsiteY13" fmla="*/ 1409700 h 2647950"/>
            <a:gd name="connsiteX14" fmla="*/ 171450 w 1400175"/>
            <a:gd name="connsiteY14" fmla="*/ 2352675 h 2647950"/>
            <a:gd name="connsiteX15" fmla="*/ 1114425 w 1400175"/>
            <a:gd name="connsiteY15" fmla="*/ 2352675 h 2647950"/>
            <a:gd name="connsiteX16" fmla="*/ 1095375 w 1400175"/>
            <a:gd name="connsiteY16" fmla="*/ 485775 h 2647950"/>
            <a:gd name="connsiteX17" fmla="*/ 1171575 w 1400175"/>
            <a:gd name="connsiteY17" fmla="*/ 247650 h 2647950"/>
            <a:gd name="connsiteX18" fmla="*/ 1400175 w 1400175"/>
            <a:gd name="connsiteY18" fmla="*/ 0 h 2647950"/>
            <a:gd name="connsiteX0" fmla="*/ 9525 w 1400175"/>
            <a:gd name="connsiteY0" fmla="*/ 2647950 h 2647950"/>
            <a:gd name="connsiteX1" fmla="*/ 0 w 1400175"/>
            <a:gd name="connsiteY1" fmla="*/ 1409700 h 2647950"/>
            <a:gd name="connsiteX2" fmla="*/ 76200 w 1400175"/>
            <a:gd name="connsiteY2" fmla="*/ 1047750 h 2647950"/>
            <a:gd name="connsiteX3" fmla="*/ 247650 w 1400175"/>
            <a:gd name="connsiteY3" fmla="*/ 762000 h 2647950"/>
            <a:gd name="connsiteX4" fmla="*/ 647700 w 1400175"/>
            <a:gd name="connsiteY4" fmla="*/ 438150 h 2647950"/>
            <a:gd name="connsiteX5" fmla="*/ 781050 w 1400175"/>
            <a:gd name="connsiteY5" fmla="*/ 361950 h 2647950"/>
            <a:gd name="connsiteX6" fmla="*/ 781050 w 1400175"/>
            <a:gd name="connsiteY6" fmla="*/ 361950 h 2647950"/>
            <a:gd name="connsiteX7" fmla="*/ 857250 w 1400175"/>
            <a:gd name="connsiteY7" fmla="*/ 361950 h 2647950"/>
            <a:gd name="connsiteX8" fmla="*/ 847725 w 1400175"/>
            <a:gd name="connsiteY8" fmla="*/ 457200 h 2647950"/>
            <a:gd name="connsiteX9" fmla="*/ 638175 w 1400175"/>
            <a:gd name="connsiteY9" fmla="*/ 581025 h 2647950"/>
            <a:gd name="connsiteX10" fmla="*/ 381000 w 1400175"/>
            <a:gd name="connsiteY10" fmla="*/ 828675 h 2647950"/>
            <a:gd name="connsiteX11" fmla="*/ 295275 w 1400175"/>
            <a:gd name="connsiteY11" fmla="*/ 990600 h 2647950"/>
            <a:gd name="connsiteX12" fmla="*/ 228600 w 1400175"/>
            <a:gd name="connsiteY12" fmla="*/ 1114425 h 2647950"/>
            <a:gd name="connsiteX13" fmla="*/ 152400 w 1400175"/>
            <a:gd name="connsiteY13" fmla="*/ 1409700 h 2647950"/>
            <a:gd name="connsiteX14" fmla="*/ 171450 w 1400175"/>
            <a:gd name="connsiteY14" fmla="*/ 2352675 h 2647950"/>
            <a:gd name="connsiteX15" fmla="*/ 1114425 w 1400175"/>
            <a:gd name="connsiteY15" fmla="*/ 2352675 h 2647950"/>
            <a:gd name="connsiteX16" fmla="*/ 1095375 w 1400175"/>
            <a:gd name="connsiteY16" fmla="*/ 485775 h 2647950"/>
            <a:gd name="connsiteX17" fmla="*/ 1171575 w 1400175"/>
            <a:gd name="connsiteY17" fmla="*/ 247650 h 2647950"/>
            <a:gd name="connsiteX18" fmla="*/ 1400175 w 1400175"/>
            <a:gd name="connsiteY18" fmla="*/ 0 h 2647950"/>
            <a:gd name="connsiteX0" fmla="*/ 9525 w 1400175"/>
            <a:gd name="connsiteY0" fmla="*/ 2647950 h 2647950"/>
            <a:gd name="connsiteX1" fmla="*/ 0 w 1400175"/>
            <a:gd name="connsiteY1" fmla="*/ 1409700 h 2647950"/>
            <a:gd name="connsiteX2" fmla="*/ 76200 w 1400175"/>
            <a:gd name="connsiteY2" fmla="*/ 1047750 h 2647950"/>
            <a:gd name="connsiteX3" fmla="*/ 247650 w 1400175"/>
            <a:gd name="connsiteY3" fmla="*/ 762000 h 2647950"/>
            <a:gd name="connsiteX4" fmla="*/ 647700 w 1400175"/>
            <a:gd name="connsiteY4" fmla="*/ 438150 h 2647950"/>
            <a:gd name="connsiteX5" fmla="*/ 781050 w 1400175"/>
            <a:gd name="connsiteY5" fmla="*/ 361950 h 2647950"/>
            <a:gd name="connsiteX6" fmla="*/ 781050 w 1400175"/>
            <a:gd name="connsiteY6" fmla="*/ 361950 h 2647950"/>
            <a:gd name="connsiteX7" fmla="*/ 857250 w 1400175"/>
            <a:gd name="connsiteY7" fmla="*/ 361950 h 2647950"/>
            <a:gd name="connsiteX8" fmla="*/ 847725 w 1400175"/>
            <a:gd name="connsiteY8" fmla="*/ 457200 h 2647950"/>
            <a:gd name="connsiteX9" fmla="*/ 638175 w 1400175"/>
            <a:gd name="connsiteY9" fmla="*/ 581025 h 2647950"/>
            <a:gd name="connsiteX10" fmla="*/ 381000 w 1400175"/>
            <a:gd name="connsiteY10" fmla="*/ 828675 h 2647950"/>
            <a:gd name="connsiteX11" fmla="*/ 295275 w 1400175"/>
            <a:gd name="connsiteY11" fmla="*/ 990600 h 2647950"/>
            <a:gd name="connsiteX12" fmla="*/ 228600 w 1400175"/>
            <a:gd name="connsiteY12" fmla="*/ 1114425 h 2647950"/>
            <a:gd name="connsiteX13" fmla="*/ 152400 w 1400175"/>
            <a:gd name="connsiteY13" fmla="*/ 1409700 h 2647950"/>
            <a:gd name="connsiteX14" fmla="*/ 171450 w 1400175"/>
            <a:gd name="connsiteY14" fmla="*/ 2352675 h 2647950"/>
            <a:gd name="connsiteX15" fmla="*/ 1114425 w 1400175"/>
            <a:gd name="connsiteY15" fmla="*/ 2352675 h 2647950"/>
            <a:gd name="connsiteX16" fmla="*/ 1095375 w 1400175"/>
            <a:gd name="connsiteY16" fmla="*/ 485775 h 2647950"/>
            <a:gd name="connsiteX17" fmla="*/ 1171575 w 1400175"/>
            <a:gd name="connsiteY17" fmla="*/ 247650 h 2647950"/>
            <a:gd name="connsiteX18" fmla="*/ 1400175 w 1400175"/>
            <a:gd name="connsiteY18" fmla="*/ 0 h 2647950"/>
            <a:gd name="connsiteX0" fmla="*/ 13181 w 1403831"/>
            <a:gd name="connsiteY0" fmla="*/ 2647950 h 2647950"/>
            <a:gd name="connsiteX1" fmla="*/ 3656 w 1403831"/>
            <a:gd name="connsiteY1" fmla="*/ 1409700 h 2647950"/>
            <a:gd name="connsiteX2" fmla="*/ 79856 w 1403831"/>
            <a:gd name="connsiteY2" fmla="*/ 1047750 h 2647950"/>
            <a:gd name="connsiteX3" fmla="*/ 251306 w 1403831"/>
            <a:gd name="connsiteY3" fmla="*/ 762000 h 2647950"/>
            <a:gd name="connsiteX4" fmla="*/ 651356 w 1403831"/>
            <a:gd name="connsiteY4" fmla="*/ 438150 h 2647950"/>
            <a:gd name="connsiteX5" fmla="*/ 784706 w 1403831"/>
            <a:gd name="connsiteY5" fmla="*/ 361950 h 2647950"/>
            <a:gd name="connsiteX6" fmla="*/ 784706 w 1403831"/>
            <a:gd name="connsiteY6" fmla="*/ 361950 h 2647950"/>
            <a:gd name="connsiteX7" fmla="*/ 860906 w 1403831"/>
            <a:gd name="connsiteY7" fmla="*/ 361950 h 2647950"/>
            <a:gd name="connsiteX8" fmla="*/ 851381 w 1403831"/>
            <a:gd name="connsiteY8" fmla="*/ 457200 h 2647950"/>
            <a:gd name="connsiteX9" fmla="*/ 641831 w 1403831"/>
            <a:gd name="connsiteY9" fmla="*/ 581025 h 2647950"/>
            <a:gd name="connsiteX10" fmla="*/ 384656 w 1403831"/>
            <a:gd name="connsiteY10" fmla="*/ 828675 h 2647950"/>
            <a:gd name="connsiteX11" fmla="*/ 298931 w 1403831"/>
            <a:gd name="connsiteY11" fmla="*/ 990600 h 2647950"/>
            <a:gd name="connsiteX12" fmla="*/ 232256 w 1403831"/>
            <a:gd name="connsiteY12" fmla="*/ 1114425 h 2647950"/>
            <a:gd name="connsiteX13" fmla="*/ 156056 w 1403831"/>
            <a:gd name="connsiteY13" fmla="*/ 1409700 h 2647950"/>
            <a:gd name="connsiteX14" fmla="*/ 175106 w 1403831"/>
            <a:gd name="connsiteY14" fmla="*/ 2352675 h 2647950"/>
            <a:gd name="connsiteX15" fmla="*/ 1118081 w 1403831"/>
            <a:gd name="connsiteY15" fmla="*/ 2352675 h 2647950"/>
            <a:gd name="connsiteX16" fmla="*/ 1099031 w 1403831"/>
            <a:gd name="connsiteY16" fmla="*/ 485775 h 2647950"/>
            <a:gd name="connsiteX17" fmla="*/ 1175231 w 1403831"/>
            <a:gd name="connsiteY17" fmla="*/ 247650 h 2647950"/>
            <a:gd name="connsiteX18" fmla="*/ 1403831 w 1403831"/>
            <a:gd name="connsiteY18" fmla="*/ 0 h 2647950"/>
            <a:gd name="connsiteX0" fmla="*/ 13181 w 1403831"/>
            <a:gd name="connsiteY0" fmla="*/ 2647950 h 2647950"/>
            <a:gd name="connsiteX1" fmla="*/ 3656 w 1403831"/>
            <a:gd name="connsiteY1" fmla="*/ 1409700 h 2647950"/>
            <a:gd name="connsiteX2" fmla="*/ 79856 w 1403831"/>
            <a:gd name="connsiteY2" fmla="*/ 1047750 h 2647950"/>
            <a:gd name="connsiteX3" fmla="*/ 251306 w 1403831"/>
            <a:gd name="connsiteY3" fmla="*/ 762000 h 2647950"/>
            <a:gd name="connsiteX4" fmla="*/ 651356 w 1403831"/>
            <a:gd name="connsiteY4" fmla="*/ 438150 h 2647950"/>
            <a:gd name="connsiteX5" fmla="*/ 784706 w 1403831"/>
            <a:gd name="connsiteY5" fmla="*/ 361950 h 2647950"/>
            <a:gd name="connsiteX6" fmla="*/ 784706 w 1403831"/>
            <a:gd name="connsiteY6" fmla="*/ 361950 h 2647950"/>
            <a:gd name="connsiteX7" fmla="*/ 860906 w 1403831"/>
            <a:gd name="connsiteY7" fmla="*/ 361950 h 2647950"/>
            <a:gd name="connsiteX8" fmla="*/ 851381 w 1403831"/>
            <a:gd name="connsiteY8" fmla="*/ 457200 h 2647950"/>
            <a:gd name="connsiteX9" fmla="*/ 641831 w 1403831"/>
            <a:gd name="connsiteY9" fmla="*/ 581025 h 2647950"/>
            <a:gd name="connsiteX10" fmla="*/ 384656 w 1403831"/>
            <a:gd name="connsiteY10" fmla="*/ 828675 h 2647950"/>
            <a:gd name="connsiteX11" fmla="*/ 298931 w 1403831"/>
            <a:gd name="connsiteY11" fmla="*/ 990600 h 2647950"/>
            <a:gd name="connsiteX12" fmla="*/ 232256 w 1403831"/>
            <a:gd name="connsiteY12" fmla="*/ 1114425 h 2647950"/>
            <a:gd name="connsiteX13" fmla="*/ 156056 w 1403831"/>
            <a:gd name="connsiteY13" fmla="*/ 1409700 h 2647950"/>
            <a:gd name="connsiteX14" fmla="*/ 175106 w 1403831"/>
            <a:gd name="connsiteY14" fmla="*/ 2352675 h 2647950"/>
            <a:gd name="connsiteX15" fmla="*/ 1118081 w 1403831"/>
            <a:gd name="connsiteY15" fmla="*/ 2352675 h 2647950"/>
            <a:gd name="connsiteX16" fmla="*/ 1099031 w 1403831"/>
            <a:gd name="connsiteY16" fmla="*/ 485775 h 2647950"/>
            <a:gd name="connsiteX17" fmla="*/ 1175231 w 1403831"/>
            <a:gd name="connsiteY17" fmla="*/ 247650 h 2647950"/>
            <a:gd name="connsiteX18" fmla="*/ 1403831 w 1403831"/>
            <a:gd name="connsiteY18" fmla="*/ 0 h 2647950"/>
            <a:gd name="connsiteX0" fmla="*/ 13181 w 1403831"/>
            <a:gd name="connsiteY0" fmla="*/ 2647950 h 2647950"/>
            <a:gd name="connsiteX1" fmla="*/ 3656 w 1403831"/>
            <a:gd name="connsiteY1" fmla="*/ 1409700 h 2647950"/>
            <a:gd name="connsiteX2" fmla="*/ 79856 w 1403831"/>
            <a:gd name="connsiteY2" fmla="*/ 1047750 h 2647950"/>
            <a:gd name="connsiteX3" fmla="*/ 251306 w 1403831"/>
            <a:gd name="connsiteY3" fmla="*/ 762000 h 2647950"/>
            <a:gd name="connsiteX4" fmla="*/ 651356 w 1403831"/>
            <a:gd name="connsiteY4" fmla="*/ 438150 h 2647950"/>
            <a:gd name="connsiteX5" fmla="*/ 784706 w 1403831"/>
            <a:gd name="connsiteY5" fmla="*/ 361950 h 2647950"/>
            <a:gd name="connsiteX6" fmla="*/ 784706 w 1403831"/>
            <a:gd name="connsiteY6" fmla="*/ 361950 h 2647950"/>
            <a:gd name="connsiteX7" fmla="*/ 860906 w 1403831"/>
            <a:gd name="connsiteY7" fmla="*/ 361950 h 2647950"/>
            <a:gd name="connsiteX8" fmla="*/ 851381 w 1403831"/>
            <a:gd name="connsiteY8" fmla="*/ 457200 h 2647950"/>
            <a:gd name="connsiteX9" fmla="*/ 641831 w 1403831"/>
            <a:gd name="connsiteY9" fmla="*/ 581025 h 2647950"/>
            <a:gd name="connsiteX10" fmla="*/ 384656 w 1403831"/>
            <a:gd name="connsiteY10" fmla="*/ 828675 h 2647950"/>
            <a:gd name="connsiteX11" fmla="*/ 298931 w 1403831"/>
            <a:gd name="connsiteY11" fmla="*/ 990600 h 2647950"/>
            <a:gd name="connsiteX12" fmla="*/ 232256 w 1403831"/>
            <a:gd name="connsiteY12" fmla="*/ 1114425 h 2647950"/>
            <a:gd name="connsiteX13" fmla="*/ 156056 w 1403831"/>
            <a:gd name="connsiteY13" fmla="*/ 1409700 h 2647950"/>
            <a:gd name="connsiteX14" fmla="*/ 175106 w 1403831"/>
            <a:gd name="connsiteY14" fmla="*/ 2352675 h 2647950"/>
            <a:gd name="connsiteX15" fmla="*/ 1118081 w 1403831"/>
            <a:gd name="connsiteY15" fmla="*/ 2352675 h 2647950"/>
            <a:gd name="connsiteX16" fmla="*/ 1099031 w 1403831"/>
            <a:gd name="connsiteY16" fmla="*/ 485775 h 2647950"/>
            <a:gd name="connsiteX17" fmla="*/ 1175231 w 1403831"/>
            <a:gd name="connsiteY17" fmla="*/ 247650 h 2647950"/>
            <a:gd name="connsiteX18" fmla="*/ 1403831 w 1403831"/>
            <a:gd name="connsiteY18" fmla="*/ 0 h 2647950"/>
            <a:gd name="connsiteX0" fmla="*/ 13181 w 1403831"/>
            <a:gd name="connsiteY0" fmla="*/ 2647950 h 2647950"/>
            <a:gd name="connsiteX1" fmla="*/ 3656 w 1403831"/>
            <a:gd name="connsiteY1" fmla="*/ 1409700 h 2647950"/>
            <a:gd name="connsiteX2" fmla="*/ 79856 w 1403831"/>
            <a:gd name="connsiteY2" fmla="*/ 1047750 h 2647950"/>
            <a:gd name="connsiteX3" fmla="*/ 251306 w 1403831"/>
            <a:gd name="connsiteY3" fmla="*/ 762000 h 2647950"/>
            <a:gd name="connsiteX4" fmla="*/ 651356 w 1403831"/>
            <a:gd name="connsiteY4" fmla="*/ 438150 h 2647950"/>
            <a:gd name="connsiteX5" fmla="*/ 784706 w 1403831"/>
            <a:gd name="connsiteY5" fmla="*/ 361950 h 2647950"/>
            <a:gd name="connsiteX6" fmla="*/ 784706 w 1403831"/>
            <a:gd name="connsiteY6" fmla="*/ 361950 h 2647950"/>
            <a:gd name="connsiteX7" fmla="*/ 860906 w 1403831"/>
            <a:gd name="connsiteY7" fmla="*/ 361950 h 2647950"/>
            <a:gd name="connsiteX8" fmla="*/ 851381 w 1403831"/>
            <a:gd name="connsiteY8" fmla="*/ 457200 h 2647950"/>
            <a:gd name="connsiteX9" fmla="*/ 641831 w 1403831"/>
            <a:gd name="connsiteY9" fmla="*/ 581025 h 2647950"/>
            <a:gd name="connsiteX10" fmla="*/ 384656 w 1403831"/>
            <a:gd name="connsiteY10" fmla="*/ 828675 h 2647950"/>
            <a:gd name="connsiteX11" fmla="*/ 298931 w 1403831"/>
            <a:gd name="connsiteY11" fmla="*/ 990600 h 2647950"/>
            <a:gd name="connsiteX12" fmla="*/ 232256 w 1403831"/>
            <a:gd name="connsiteY12" fmla="*/ 1114425 h 2647950"/>
            <a:gd name="connsiteX13" fmla="*/ 156056 w 1403831"/>
            <a:gd name="connsiteY13" fmla="*/ 1409700 h 2647950"/>
            <a:gd name="connsiteX14" fmla="*/ 175106 w 1403831"/>
            <a:gd name="connsiteY14" fmla="*/ 2352675 h 2647950"/>
            <a:gd name="connsiteX15" fmla="*/ 1118081 w 1403831"/>
            <a:gd name="connsiteY15" fmla="*/ 2352675 h 2647950"/>
            <a:gd name="connsiteX16" fmla="*/ 1099031 w 1403831"/>
            <a:gd name="connsiteY16" fmla="*/ 485775 h 2647950"/>
            <a:gd name="connsiteX17" fmla="*/ 1175231 w 1403831"/>
            <a:gd name="connsiteY17" fmla="*/ 247650 h 2647950"/>
            <a:gd name="connsiteX18" fmla="*/ 1403831 w 1403831"/>
            <a:gd name="connsiteY18" fmla="*/ 0 h 2647950"/>
            <a:gd name="connsiteX0" fmla="*/ 13181 w 1403831"/>
            <a:gd name="connsiteY0" fmla="*/ 2647950 h 2647950"/>
            <a:gd name="connsiteX1" fmla="*/ 3656 w 1403831"/>
            <a:gd name="connsiteY1" fmla="*/ 1409700 h 2647950"/>
            <a:gd name="connsiteX2" fmla="*/ 79856 w 1403831"/>
            <a:gd name="connsiteY2" fmla="*/ 1047750 h 2647950"/>
            <a:gd name="connsiteX3" fmla="*/ 251306 w 1403831"/>
            <a:gd name="connsiteY3" fmla="*/ 762000 h 2647950"/>
            <a:gd name="connsiteX4" fmla="*/ 651356 w 1403831"/>
            <a:gd name="connsiteY4" fmla="*/ 438150 h 2647950"/>
            <a:gd name="connsiteX5" fmla="*/ 784706 w 1403831"/>
            <a:gd name="connsiteY5" fmla="*/ 361950 h 2647950"/>
            <a:gd name="connsiteX6" fmla="*/ 784706 w 1403831"/>
            <a:gd name="connsiteY6" fmla="*/ 361950 h 2647950"/>
            <a:gd name="connsiteX7" fmla="*/ 860906 w 1403831"/>
            <a:gd name="connsiteY7" fmla="*/ 361950 h 2647950"/>
            <a:gd name="connsiteX8" fmla="*/ 851381 w 1403831"/>
            <a:gd name="connsiteY8" fmla="*/ 457200 h 2647950"/>
            <a:gd name="connsiteX9" fmla="*/ 641831 w 1403831"/>
            <a:gd name="connsiteY9" fmla="*/ 581025 h 2647950"/>
            <a:gd name="connsiteX10" fmla="*/ 384656 w 1403831"/>
            <a:gd name="connsiteY10" fmla="*/ 828675 h 2647950"/>
            <a:gd name="connsiteX11" fmla="*/ 298931 w 1403831"/>
            <a:gd name="connsiteY11" fmla="*/ 990600 h 2647950"/>
            <a:gd name="connsiteX12" fmla="*/ 232256 w 1403831"/>
            <a:gd name="connsiteY12" fmla="*/ 1114425 h 2647950"/>
            <a:gd name="connsiteX13" fmla="*/ 156056 w 1403831"/>
            <a:gd name="connsiteY13" fmla="*/ 1409700 h 2647950"/>
            <a:gd name="connsiteX14" fmla="*/ 175106 w 1403831"/>
            <a:gd name="connsiteY14" fmla="*/ 2352675 h 2647950"/>
            <a:gd name="connsiteX15" fmla="*/ 1118081 w 1403831"/>
            <a:gd name="connsiteY15" fmla="*/ 2352675 h 2647950"/>
            <a:gd name="connsiteX16" fmla="*/ 1099031 w 1403831"/>
            <a:gd name="connsiteY16" fmla="*/ 485775 h 2647950"/>
            <a:gd name="connsiteX17" fmla="*/ 1175231 w 1403831"/>
            <a:gd name="connsiteY17" fmla="*/ 247650 h 2647950"/>
            <a:gd name="connsiteX18" fmla="*/ 1403831 w 1403831"/>
            <a:gd name="connsiteY18" fmla="*/ 0 h 2647950"/>
            <a:gd name="connsiteX0" fmla="*/ 13181 w 1403831"/>
            <a:gd name="connsiteY0" fmla="*/ 2647950 h 2647950"/>
            <a:gd name="connsiteX1" fmla="*/ 3656 w 1403831"/>
            <a:gd name="connsiteY1" fmla="*/ 1409700 h 2647950"/>
            <a:gd name="connsiteX2" fmla="*/ 79856 w 1403831"/>
            <a:gd name="connsiteY2" fmla="*/ 1047750 h 2647950"/>
            <a:gd name="connsiteX3" fmla="*/ 251306 w 1403831"/>
            <a:gd name="connsiteY3" fmla="*/ 762000 h 2647950"/>
            <a:gd name="connsiteX4" fmla="*/ 651356 w 1403831"/>
            <a:gd name="connsiteY4" fmla="*/ 438150 h 2647950"/>
            <a:gd name="connsiteX5" fmla="*/ 784706 w 1403831"/>
            <a:gd name="connsiteY5" fmla="*/ 361950 h 2647950"/>
            <a:gd name="connsiteX6" fmla="*/ 784706 w 1403831"/>
            <a:gd name="connsiteY6" fmla="*/ 361950 h 2647950"/>
            <a:gd name="connsiteX7" fmla="*/ 860906 w 1403831"/>
            <a:gd name="connsiteY7" fmla="*/ 361950 h 2647950"/>
            <a:gd name="connsiteX8" fmla="*/ 851381 w 1403831"/>
            <a:gd name="connsiteY8" fmla="*/ 457200 h 2647950"/>
            <a:gd name="connsiteX9" fmla="*/ 641831 w 1403831"/>
            <a:gd name="connsiteY9" fmla="*/ 581025 h 2647950"/>
            <a:gd name="connsiteX10" fmla="*/ 384656 w 1403831"/>
            <a:gd name="connsiteY10" fmla="*/ 828675 h 2647950"/>
            <a:gd name="connsiteX11" fmla="*/ 298931 w 1403831"/>
            <a:gd name="connsiteY11" fmla="*/ 990600 h 2647950"/>
            <a:gd name="connsiteX12" fmla="*/ 232256 w 1403831"/>
            <a:gd name="connsiteY12" fmla="*/ 1114425 h 2647950"/>
            <a:gd name="connsiteX13" fmla="*/ 156056 w 1403831"/>
            <a:gd name="connsiteY13" fmla="*/ 1409700 h 2647950"/>
            <a:gd name="connsiteX14" fmla="*/ 175106 w 1403831"/>
            <a:gd name="connsiteY14" fmla="*/ 2352675 h 2647950"/>
            <a:gd name="connsiteX15" fmla="*/ 1118081 w 1403831"/>
            <a:gd name="connsiteY15" fmla="*/ 2352675 h 2647950"/>
            <a:gd name="connsiteX16" fmla="*/ 1099031 w 1403831"/>
            <a:gd name="connsiteY16" fmla="*/ 485775 h 2647950"/>
            <a:gd name="connsiteX17" fmla="*/ 1175231 w 1403831"/>
            <a:gd name="connsiteY17" fmla="*/ 247650 h 2647950"/>
            <a:gd name="connsiteX18" fmla="*/ 1403831 w 1403831"/>
            <a:gd name="connsiteY18" fmla="*/ 0 h 2647950"/>
            <a:gd name="connsiteX0" fmla="*/ 13181 w 1403831"/>
            <a:gd name="connsiteY0" fmla="*/ 2647950 h 2647950"/>
            <a:gd name="connsiteX1" fmla="*/ 3656 w 1403831"/>
            <a:gd name="connsiteY1" fmla="*/ 1409700 h 2647950"/>
            <a:gd name="connsiteX2" fmla="*/ 79856 w 1403831"/>
            <a:gd name="connsiteY2" fmla="*/ 1047750 h 2647950"/>
            <a:gd name="connsiteX3" fmla="*/ 251306 w 1403831"/>
            <a:gd name="connsiteY3" fmla="*/ 762000 h 2647950"/>
            <a:gd name="connsiteX4" fmla="*/ 651356 w 1403831"/>
            <a:gd name="connsiteY4" fmla="*/ 438150 h 2647950"/>
            <a:gd name="connsiteX5" fmla="*/ 784706 w 1403831"/>
            <a:gd name="connsiteY5" fmla="*/ 361950 h 2647950"/>
            <a:gd name="connsiteX6" fmla="*/ 784706 w 1403831"/>
            <a:gd name="connsiteY6" fmla="*/ 361950 h 2647950"/>
            <a:gd name="connsiteX7" fmla="*/ 860906 w 1403831"/>
            <a:gd name="connsiteY7" fmla="*/ 361950 h 2647950"/>
            <a:gd name="connsiteX8" fmla="*/ 851381 w 1403831"/>
            <a:gd name="connsiteY8" fmla="*/ 457200 h 2647950"/>
            <a:gd name="connsiteX9" fmla="*/ 641831 w 1403831"/>
            <a:gd name="connsiteY9" fmla="*/ 581025 h 2647950"/>
            <a:gd name="connsiteX10" fmla="*/ 384656 w 1403831"/>
            <a:gd name="connsiteY10" fmla="*/ 828675 h 2647950"/>
            <a:gd name="connsiteX11" fmla="*/ 232256 w 1403831"/>
            <a:gd name="connsiteY11" fmla="*/ 1114425 h 2647950"/>
            <a:gd name="connsiteX12" fmla="*/ 156056 w 1403831"/>
            <a:gd name="connsiteY12" fmla="*/ 1409700 h 2647950"/>
            <a:gd name="connsiteX13" fmla="*/ 175106 w 1403831"/>
            <a:gd name="connsiteY13" fmla="*/ 2352675 h 2647950"/>
            <a:gd name="connsiteX14" fmla="*/ 1118081 w 1403831"/>
            <a:gd name="connsiteY14" fmla="*/ 2352675 h 2647950"/>
            <a:gd name="connsiteX15" fmla="*/ 1099031 w 1403831"/>
            <a:gd name="connsiteY15" fmla="*/ 485775 h 2647950"/>
            <a:gd name="connsiteX16" fmla="*/ 1175231 w 1403831"/>
            <a:gd name="connsiteY16" fmla="*/ 247650 h 2647950"/>
            <a:gd name="connsiteX17" fmla="*/ 1403831 w 1403831"/>
            <a:gd name="connsiteY17" fmla="*/ 0 h 2647950"/>
            <a:gd name="connsiteX0" fmla="*/ 13181 w 1403831"/>
            <a:gd name="connsiteY0" fmla="*/ 2647950 h 2647950"/>
            <a:gd name="connsiteX1" fmla="*/ 3656 w 1403831"/>
            <a:gd name="connsiteY1" fmla="*/ 1409700 h 2647950"/>
            <a:gd name="connsiteX2" fmla="*/ 79856 w 1403831"/>
            <a:gd name="connsiteY2" fmla="*/ 1047750 h 2647950"/>
            <a:gd name="connsiteX3" fmla="*/ 251306 w 1403831"/>
            <a:gd name="connsiteY3" fmla="*/ 762000 h 2647950"/>
            <a:gd name="connsiteX4" fmla="*/ 651356 w 1403831"/>
            <a:gd name="connsiteY4" fmla="*/ 438150 h 2647950"/>
            <a:gd name="connsiteX5" fmla="*/ 784706 w 1403831"/>
            <a:gd name="connsiteY5" fmla="*/ 361950 h 2647950"/>
            <a:gd name="connsiteX6" fmla="*/ 784706 w 1403831"/>
            <a:gd name="connsiteY6" fmla="*/ 361950 h 2647950"/>
            <a:gd name="connsiteX7" fmla="*/ 860906 w 1403831"/>
            <a:gd name="connsiteY7" fmla="*/ 361950 h 2647950"/>
            <a:gd name="connsiteX8" fmla="*/ 851381 w 1403831"/>
            <a:gd name="connsiteY8" fmla="*/ 457200 h 2647950"/>
            <a:gd name="connsiteX9" fmla="*/ 641831 w 1403831"/>
            <a:gd name="connsiteY9" fmla="*/ 581025 h 2647950"/>
            <a:gd name="connsiteX10" fmla="*/ 384656 w 1403831"/>
            <a:gd name="connsiteY10" fmla="*/ 828675 h 2647950"/>
            <a:gd name="connsiteX11" fmla="*/ 232256 w 1403831"/>
            <a:gd name="connsiteY11" fmla="*/ 1114425 h 2647950"/>
            <a:gd name="connsiteX12" fmla="*/ 156056 w 1403831"/>
            <a:gd name="connsiteY12" fmla="*/ 1409700 h 2647950"/>
            <a:gd name="connsiteX13" fmla="*/ 175106 w 1403831"/>
            <a:gd name="connsiteY13" fmla="*/ 2352675 h 2647950"/>
            <a:gd name="connsiteX14" fmla="*/ 1118081 w 1403831"/>
            <a:gd name="connsiteY14" fmla="*/ 2352675 h 2647950"/>
            <a:gd name="connsiteX15" fmla="*/ 1099031 w 1403831"/>
            <a:gd name="connsiteY15" fmla="*/ 485775 h 2647950"/>
            <a:gd name="connsiteX16" fmla="*/ 1175231 w 1403831"/>
            <a:gd name="connsiteY16" fmla="*/ 247650 h 2647950"/>
            <a:gd name="connsiteX17" fmla="*/ 1403831 w 1403831"/>
            <a:gd name="connsiteY17" fmla="*/ 0 h 26479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</a:cxnLst>
          <a:rect l="l" t="t" r="r" b="b"/>
          <a:pathLst>
            <a:path w="1403831" h="2647950">
              <a:moveTo>
                <a:pt x="13181" y="2647950"/>
              </a:moveTo>
              <a:cubicBezTo>
                <a:pt x="10006" y="2235200"/>
                <a:pt x="-7457" y="1676400"/>
                <a:pt x="3656" y="1409700"/>
              </a:cubicBezTo>
              <a:cubicBezTo>
                <a:pt x="14769" y="1143000"/>
                <a:pt x="38581" y="1155700"/>
                <a:pt x="79856" y="1047750"/>
              </a:cubicBezTo>
              <a:cubicBezTo>
                <a:pt x="121131" y="939800"/>
                <a:pt x="156056" y="863600"/>
                <a:pt x="251306" y="762000"/>
              </a:cubicBezTo>
              <a:cubicBezTo>
                <a:pt x="346556" y="660400"/>
                <a:pt x="562456" y="504825"/>
                <a:pt x="651356" y="438150"/>
              </a:cubicBezTo>
              <a:cubicBezTo>
                <a:pt x="740256" y="371475"/>
                <a:pt x="762481" y="374650"/>
                <a:pt x="784706" y="361950"/>
              </a:cubicBezTo>
              <a:lnTo>
                <a:pt x="784706" y="361950"/>
              </a:lnTo>
              <a:cubicBezTo>
                <a:pt x="797406" y="361950"/>
                <a:pt x="864081" y="330200"/>
                <a:pt x="860906" y="361950"/>
              </a:cubicBezTo>
              <a:lnTo>
                <a:pt x="851381" y="457200"/>
              </a:lnTo>
              <a:cubicBezTo>
                <a:pt x="814869" y="493712"/>
                <a:pt x="727556" y="498475"/>
                <a:pt x="641831" y="581025"/>
              </a:cubicBezTo>
              <a:cubicBezTo>
                <a:pt x="556106" y="663575"/>
                <a:pt x="452918" y="739775"/>
                <a:pt x="384656" y="828675"/>
              </a:cubicBezTo>
              <a:cubicBezTo>
                <a:pt x="316394" y="917575"/>
                <a:pt x="257656" y="1016000"/>
                <a:pt x="232256" y="1114425"/>
              </a:cubicBezTo>
              <a:lnTo>
                <a:pt x="156056" y="1409700"/>
              </a:lnTo>
              <a:lnTo>
                <a:pt x="175106" y="2352675"/>
              </a:lnTo>
              <a:lnTo>
                <a:pt x="1118081" y="2352675"/>
              </a:lnTo>
              <a:lnTo>
                <a:pt x="1099031" y="485775"/>
              </a:lnTo>
              <a:lnTo>
                <a:pt x="1175231" y="247650"/>
              </a:lnTo>
              <a:lnTo>
                <a:pt x="1403831" y="0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514350</xdr:colOff>
      <xdr:row>13</xdr:row>
      <xdr:rowOff>1952625</xdr:rowOff>
    </xdr:from>
    <xdr:to>
      <xdr:col>4</xdr:col>
      <xdr:colOff>857249</xdr:colOff>
      <xdr:row>13</xdr:row>
      <xdr:rowOff>2279522</xdr:rowOff>
    </xdr:to>
    <xdr:pic>
      <xdr:nvPicPr>
        <xdr:cNvPr id="600" name="Рисунок 599" descr="Картинки по запросу знак парковка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22640925"/>
          <a:ext cx="342899" cy="326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711062</xdr:colOff>
      <xdr:row>13</xdr:row>
      <xdr:rowOff>400050</xdr:rowOff>
    </xdr:from>
    <xdr:to>
      <xdr:col>4</xdr:col>
      <xdr:colOff>862324</xdr:colOff>
      <xdr:row>13</xdr:row>
      <xdr:rowOff>543931</xdr:rowOff>
    </xdr:to>
    <xdr:sp macro="" textlink="">
      <xdr:nvSpPr>
        <xdr:cNvPr id="602" name="Овал 60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3835262" y="21088350"/>
          <a:ext cx="151262" cy="143881"/>
        </a:xfrm>
        <a:prstGeom prst="ellipse">
          <a:avLst/>
        </a:prstGeom>
        <a:solidFill>
          <a:schemeClr val="tx1"/>
        </a:solidFill>
        <a:ln w="349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803587</xdr:colOff>
      <xdr:row>13</xdr:row>
      <xdr:rowOff>443492</xdr:rowOff>
    </xdr:from>
    <xdr:to>
      <xdr:col>4</xdr:col>
      <xdr:colOff>1021216</xdr:colOff>
      <xdr:row>13</xdr:row>
      <xdr:rowOff>1615110</xdr:rowOff>
    </xdr:to>
    <xdr:sp macro="" textlink="">
      <xdr:nvSpPr>
        <xdr:cNvPr id="603" name="Полилиния 602"/>
        <xdr:cNvSpPr/>
      </xdr:nvSpPr>
      <xdr:spPr>
        <a:xfrm>
          <a:off x="3927787" y="21131792"/>
          <a:ext cx="217629" cy="1171618"/>
        </a:xfrm>
        <a:custGeom>
          <a:avLst/>
          <a:gdLst>
            <a:gd name="connsiteX0" fmla="*/ 0 w 1043608"/>
            <a:gd name="connsiteY0" fmla="*/ 2078935 h 2078935"/>
            <a:gd name="connsiteX1" fmla="*/ 0 w 1043608"/>
            <a:gd name="connsiteY1" fmla="*/ 1151283 h 2078935"/>
            <a:gd name="connsiteX2" fmla="*/ 66261 w 1043608"/>
            <a:gd name="connsiteY2" fmla="*/ 745435 h 2078935"/>
            <a:gd name="connsiteX3" fmla="*/ 273326 w 1043608"/>
            <a:gd name="connsiteY3" fmla="*/ 414131 h 2078935"/>
            <a:gd name="connsiteX4" fmla="*/ 828261 w 1043608"/>
            <a:gd name="connsiteY4" fmla="*/ 16566 h 2078935"/>
            <a:gd name="connsiteX5" fmla="*/ 1027043 w 1043608"/>
            <a:gd name="connsiteY5" fmla="*/ 0 h 2078935"/>
            <a:gd name="connsiteX6" fmla="*/ 1043608 w 1043608"/>
            <a:gd name="connsiteY6" fmla="*/ 124240 h 2078935"/>
            <a:gd name="connsiteX7" fmla="*/ 1043608 w 1043608"/>
            <a:gd name="connsiteY7" fmla="*/ 1151283 h 2078935"/>
            <a:gd name="connsiteX0" fmla="*/ 0 w 1043608"/>
            <a:gd name="connsiteY0" fmla="*/ 2103597 h 2103597"/>
            <a:gd name="connsiteX1" fmla="*/ 0 w 1043608"/>
            <a:gd name="connsiteY1" fmla="*/ 1175945 h 2103597"/>
            <a:gd name="connsiteX2" fmla="*/ 66261 w 1043608"/>
            <a:gd name="connsiteY2" fmla="*/ 770097 h 2103597"/>
            <a:gd name="connsiteX3" fmla="*/ 273326 w 1043608"/>
            <a:gd name="connsiteY3" fmla="*/ 438793 h 2103597"/>
            <a:gd name="connsiteX4" fmla="*/ 828261 w 1043608"/>
            <a:gd name="connsiteY4" fmla="*/ 41228 h 2103597"/>
            <a:gd name="connsiteX5" fmla="*/ 1027043 w 1043608"/>
            <a:gd name="connsiteY5" fmla="*/ 24662 h 2103597"/>
            <a:gd name="connsiteX6" fmla="*/ 1043608 w 1043608"/>
            <a:gd name="connsiteY6" fmla="*/ 148902 h 2103597"/>
            <a:gd name="connsiteX7" fmla="*/ 1043608 w 1043608"/>
            <a:gd name="connsiteY7" fmla="*/ 1175945 h 2103597"/>
            <a:gd name="connsiteX0" fmla="*/ 0 w 1043608"/>
            <a:gd name="connsiteY0" fmla="*/ 2103597 h 2103597"/>
            <a:gd name="connsiteX1" fmla="*/ 0 w 1043608"/>
            <a:gd name="connsiteY1" fmla="*/ 1175945 h 2103597"/>
            <a:gd name="connsiteX2" fmla="*/ 66261 w 1043608"/>
            <a:gd name="connsiteY2" fmla="*/ 770097 h 2103597"/>
            <a:gd name="connsiteX3" fmla="*/ 273326 w 1043608"/>
            <a:gd name="connsiteY3" fmla="*/ 438793 h 2103597"/>
            <a:gd name="connsiteX4" fmla="*/ 828261 w 1043608"/>
            <a:gd name="connsiteY4" fmla="*/ 41228 h 2103597"/>
            <a:gd name="connsiteX5" fmla="*/ 1027043 w 1043608"/>
            <a:gd name="connsiteY5" fmla="*/ 24662 h 2103597"/>
            <a:gd name="connsiteX6" fmla="*/ 1043608 w 1043608"/>
            <a:gd name="connsiteY6" fmla="*/ 148902 h 2103597"/>
            <a:gd name="connsiteX7" fmla="*/ 1043608 w 1043608"/>
            <a:gd name="connsiteY7" fmla="*/ 1175945 h 2103597"/>
            <a:gd name="connsiteX0" fmla="*/ 0 w 1043608"/>
            <a:gd name="connsiteY0" fmla="*/ 2103597 h 2103597"/>
            <a:gd name="connsiteX1" fmla="*/ 0 w 1043608"/>
            <a:gd name="connsiteY1" fmla="*/ 1175945 h 2103597"/>
            <a:gd name="connsiteX2" fmla="*/ 66261 w 1043608"/>
            <a:gd name="connsiteY2" fmla="*/ 770097 h 2103597"/>
            <a:gd name="connsiteX3" fmla="*/ 273326 w 1043608"/>
            <a:gd name="connsiteY3" fmla="*/ 438793 h 2103597"/>
            <a:gd name="connsiteX4" fmla="*/ 828261 w 1043608"/>
            <a:gd name="connsiteY4" fmla="*/ 41228 h 2103597"/>
            <a:gd name="connsiteX5" fmla="*/ 1027043 w 1043608"/>
            <a:gd name="connsiteY5" fmla="*/ 24662 h 2103597"/>
            <a:gd name="connsiteX6" fmla="*/ 1043608 w 1043608"/>
            <a:gd name="connsiteY6" fmla="*/ 148902 h 2103597"/>
            <a:gd name="connsiteX7" fmla="*/ 1043608 w 1043608"/>
            <a:gd name="connsiteY7" fmla="*/ 1175945 h 2103597"/>
            <a:gd name="connsiteX0" fmla="*/ 4908 w 1048516"/>
            <a:gd name="connsiteY0" fmla="*/ 2103597 h 2103597"/>
            <a:gd name="connsiteX1" fmla="*/ 4908 w 1048516"/>
            <a:gd name="connsiteY1" fmla="*/ 1175945 h 2103597"/>
            <a:gd name="connsiteX2" fmla="*/ 71169 w 1048516"/>
            <a:gd name="connsiteY2" fmla="*/ 770097 h 2103597"/>
            <a:gd name="connsiteX3" fmla="*/ 278234 w 1048516"/>
            <a:gd name="connsiteY3" fmla="*/ 438793 h 2103597"/>
            <a:gd name="connsiteX4" fmla="*/ 833169 w 1048516"/>
            <a:gd name="connsiteY4" fmla="*/ 41228 h 2103597"/>
            <a:gd name="connsiteX5" fmla="*/ 1031951 w 1048516"/>
            <a:gd name="connsiteY5" fmla="*/ 24662 h 2103597"/>
            <a:gd name="connsiteX6" fmla="*/ 1048516 w 1048516"/>
            <a:gd name="connsiteY6" fmla="*/ 148902 h 2103597"/>
            <a:gd name="connsiteX7" fmla="*/ 1048516 w 1048516"/>
            <a:gd name="connsiteY7" fmla="*/ 1175945 h 2103597"/>
            <a:gd name="connsiteX0" fmla="*/ 4908 w 1048516"/>
            <a:gd name="connsiteY0" fmla="*/ 2112091 h 2112091"/>
            <a:gd name="connsiteX1" fmla="*/ 4908 w 1048516"/>
            <a:gd name="connsiteY1" fmla="*/ 1184439 h 2112091"/>
            <a:gd name="connsiteX2" fmla="*/ 71169 w 1048516"/>
            <a:gd name="connsiteY2" fmla="*/ 778591 h 2112091"/>
            <a:gd name="connsiteX3" fmla="*/ 278234 w 1048516"/>
            <a:gd name="connsiteY3" fmla="*/ 447287 h 2112091"/>
            <a:gd name="connsiteX4" fmla="*/ 833169 w 1048516"/>
            <a:gd name="connsiteY4" fmla="*/ 49722 h 2112091"/>
            <a:gd name="connsiteX5" fmla="*/ 1031951 w 1048516"/>
            <a:gd name="connsiteY5" fmla="*/ 33156 h 2112091"/>
            <a:gd name="connsiteX6" fmla="*/ 1048516 w 1048516"/>
            <a:gd name="connsiteY6" fmla="*/ 157396 h 2112091"/>
            <a:gd name="connsiteX7" fmla="*/ 1048516 w 1048516"/>
            <a:gd name="connsiteY7" fmla="*/ 1184439 h 2112091"/>
            <a:gd name="connsiteX0" fmla="*/ 4908 w 1050970"/>
            <a:gd name="connsiteY0" fmla="*/ 2112091 h 2112091"/>
            <a:gd name="connsiteX1" fmla="*/ 4908 w 1050970"/>
            <a:gd name="connsiteY1" fmla="*/ 1184439 h 2112091"/>
            <a:gd name="connsiteX2" fmla="*/ 71169 w 1050970"/>
            <a:gd name="connsiteY2" fmla="*/ 778591 h 2112091"/>
            <a:gd name="connsiteX3" fmla="*/ 278234 w 1050970"/>
            <a:gd name="connsiteY3" fmla="*/ 447287 h 2112091"/>
            <a:gd name="connsiteX4" fmla="*/ 833169 w 1050970"/>
            <a:gd name="connsiteY4" fmla="*/ 49722 h 2112091"/>
            <a:gd name="connsiteX5" fmla="*/ 1031951 w 1050970"/>
            <a:gd name="connsiteY5" fmla="*/ 33156 h 2112091"/>
            <a:gd name="connsiteX6" fmla="*/ 1048516 w 1050970"/>
            <a:gd name="connsiteY6" fmla="*/ 157396 h 2112091"/>
            <a:gd name="connsiteX7" fmla="*/ 1048516 w 1050970"/>
            <a:gd name="connsiteY7" fmla="*/ 1184439 h 2112091"/>
            <a:gd name="connsiteX0" fmla="*/ 0 w 1046062"/>
            <a:gd name="connsiteY0" fmla="*/ 1184439 h 1184439"/>
            <a:gd name="connsiteX1" fmla="*/ 66261 w 1046062"/>
            <a:gd name="connsiteY1" fmla="*/ 778591 h 1184439"/>
            <a:gd name="connsiteX2" fmla="*/ 273326 w 1046062"/>
            <a:gd name="connsiteY2" fmla="*/ 447287 h 1184439"/>
            <a:gd name="connsiteX3" fmla="*/ 828261 w 1046062"/>
            <a:gd name="connsiteY3" fmla="*/ 49722 h 1184439"/>
            <a:gd name="connsiteX4" fmla="*/ 1027043 w 1046062"/>
            <a:gd name="connsiteY4" fmla="*/ 33156 h 1184439"/>
            <a:gd name="connsiteX5" fmla="*/ 1043608 w 1046062"/>
            <a:gd name="connsiteY5" fmla="*/ 157396 h 1184439"/>
            <a:gd name="connsiteX6" fmla="*/ 1043608 w 1046062"/>
            <a:gd name="connsiteY6" fmla="*/ 1184439 h 1184439"/>
            <a:gd name="connsiteX0" fmla="*/ 0 w 979801"/>
            <a:gd name="connsiteY0" fmla="*/ 778591 h 1184439"/>
            <a:gd name="connsiteX1" fmla="*/ 207065 w 979801"/>
            <a:gd name="connsiteY1" fmla="*/ 447287 h 1184439"/>
            <a:gd name="connsiteX2" fmla="*/ 762000 w 979801"/>
            <a:gd name="connsiteY2" fmla="*/ 49722 h 1184439"/>
            <a:gd name="connsiteX3" fmla="*/ 960782 w 979801"/>
            <a:gd name="connsiteY3" fmla="*/ 33156 h 1184439"/>
            <a:gd name="connsiteX4" fmla="*/ 977347 w 979801"/>
            <a:gd name="connsiteY4" fmla="*/ 157396 h 1184439"/>
            <a:gd name="connsiteX5" fmla="*/ 977347 w 979801"/>
            <a:gd name="connsiteY5" fmla="*/ 1184439 h 1184439"/>
            <a:gd name="connsiteX0" fmla="*/ 0 w 772736"/>
            <a:gd name="connsiteY0" fmla="*/ 447287 h 1184439"/>
            <a:gd name="connsiteX1" fmla="*/ 554935 w 772736"/>
            <a:gd name="connsiteY1" fmla="*/ 49722 h 1184439"/>
            <a:gd name="connsiteX2" fmla="*/ 753717 w 772736"/>
            <a:gd name="connsiteY2" fmla="*/ 33156 h 1184439"/>
            <a:gd name="connsiteX3" fmla="*/ 770282 w 772736"/>
            <a:gd name="connsiteY3" fmla="*/ 157396 h 1184439"/>
            <a:gd name="connsiteX4" fmla="*/ 770282 w 772736"/>
            <a:gd name="connsiteY4" fmla="*/ 1184439 h 1184439"/>
            <a:gd name="connsiteX0" fmla="*/ 0 w 439098"/>
            <a:gd name="connsiteY0" fmla="*/ 186816 h 1171618"/>
            <a:gd name="connsiteX1" fmla="*/ 221297 w 439098"/>
            <a:gd name="connsiteY1" fmla="*/ 36901 h 1171618"/>
            <a:gd name="connsiteX2" fmla="*/ 420079 w 439098"/>
            <a:gd name="connsiteY2" fmla="*/ 20335 h 1171618"/>
            <a:gd name="connsiteX3" fmla="*/ 436644 w 439098"/>
            <a:gd name="connsiteY3" fmla="*/ 144575 h 1171618"/>
            <a:gd name="connsiteX4" fmla="*/ 436644 w 439098"/>
            <a:gd name="connsiteY4" fmla="*/ 1171618 h 1171618"/>
            <a:gd name="connsiteX0" fmla="*/ 0 w 217801"/>
            <a:gd name="connsiteY0" fmla="*/ 36901 h 1171618"/>
            <a:gd name="connsiteX1" fmla="*/ 198782 w 217801"/>
            <a:gd name="connsiteY1" fmla="*/ 20335 h 1171618"/>
            <a:gd name="connsiteX2" fmla="*/ 215347 w 217801"/>
            <a:gd name="connsiteY2" fmla="*/ 144575 h 1171618"/>
            <a:gd name="connsiteX3" fmla="*/ 215347 w 217801"/>
            <a:gd name="connsiteY3" fmla="*/ 1171618 h 117161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17801" h="1171618">
              <a:moveTo>
                <a:pt x="0" y="36901"/>
              </a:moveTo>
              <a:cubicBezTo>
                <a:pt x="70013" y="9154"/>
                <a:pt x="193260" y="-21078"/>
                <a:pt x="198782" y="20335"/>
              </a:cubicBezTo>
              <a:lnTo>
                <a:pt x="215347" y="144575"/>
              </a:lnTo>
              <a:cubicBezTo>
                <a:pt x="220869" y="185988"/>
                <a:pt x="215347" y="829270"/>
                <a:pt x="215347" y="1171618"/>
              </a:cubicBez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1091045</xdr:colOff>
      <xdr:row>13</xdr:row>
      <xdr:rowOff>886938</xdr:rowOff>
    </xdr:from>
    <xdr:to>
      <xdr:col>5</xdr:col>
      <xdr:colOff>136072</xdr:colOff>
      <xdr:row>13</xdr:row>
      <xdr:rowOff>1316182</xdr:rowOff>
    </xdr:to>
    <xdr:sp macro="" textlink="">
      <xdr:nvSpPr>
        <xdr:cNvPr id="606" name="Полилиния 605"/>
        <xdr:cNvSpPr/>
      </xdr:nvSpPr>
      <xdr:spPr>
        <a:xfrm>
          <a:off x="4225636" y="21599483"/>
          <a:ext cx="430481" cy="429244"/>
        </a:xfrm>
        <a:custGeom>
          <a:avLst/>
          <a:gdLst>
            <a:gd name="connsiteX0" fmla="*/ 343580 w 343580"/>
            <a:gd name="connsiteY0" fmla="*/ 0 h 496660"/>
            <a:gd name="connsiteX1" fmla="*/ 0 w 343580"/>
            <a:gd name="connsiteY1" fmla="*/ 496660 h 496660"/>
            <a:gd name="connsiteX2" fmla="*/ 340178 w 343580"/>
            <a:gd name="connsiteY2" fmla="*/ 425223 h 496660"/>
            <a:gd name="connsiteX3" fmla="*/ 343580 w 343580"/>
            <a:gd name="connsiteY3" fmla="*/ 0 h 496660"/>
            <a:gd name="connsiteX0" fmla="*/ 343580 w 343580"/>
            <a:gd name="connsiteY0" fmla="*/ 0 h 541981"/>
            <a:gd name="connsiteX1" fmla="*/ 0 w 343580"/>
            <a:gd name="connsiteY1" fmla="*/ 496660 h 541981"/>
            <a:gd name="connsiteX2" fmla="*/ 278726 w 343580"/>
            <a:gd name="connsiteY2" fmla="*/ 541981 h 541981"/>
            <a:gd name="connsiteX3" fmla="*/ 343580 w 343580"/>
            <a:gd name="connsiteY3" fmla="*/ 0 h 541981"/>
            <a:gd name="connsiteX0" fmla="*/ 349725 w 349725"/>
            <a:gd name="connsiteY0" fmla="*/ 0 h 581924"/>
            <a:gd name="connsiteX1" fmla="*/ 0 w 349725"/>
            <a:gd name="connsiteY1" fmla="*/ 536603 h 581924"/>
            <a:gd name="connsiteX2" fmla="*/ 278726 w 349725"/>
            <a:gd name="connsiteY2" fmla="*/ 581924 h 581924"/>
            <a:gd name="connsiteX3" fmla="*/ 349725 w 349725"/>
            <a:gd name="connsiteY3" fmla="*/ 0 h 581924"/>
            <a:gd name="connsiteX0" fmla="*/ 349725 w 349725"/>
            <a:gd name="connsiteY0" fmla="*/ 0 h 536603"/>
            <a:gd name="connsiteX1" fmla="*/ 0 w 349725"/>
            <a:gd name="connsiteY1" fmla="*/ 536603 h 536603"/>
            <a:gd name="connsiteX2" fmla="*/ 343250 w 349725"/>
            <a:gd name="connsiteY2" fmla="*/ 480529 h 536603"/>
            <a:gd name="connsiteX3" fmla="*/ 349725 w 349725"/>
            <a:gd name="connsiteY3" fmla="*/ 0 h 536603"/>
            <a:gd name="connsiteX0" fmla="*/ 349725 w 349725"/>
            <a:gd name="connsiteY0" fmla="*/ 0 h 374678"/>
            <a:gd name="connsiteX1" fmla="*/ 0 w 349725"/>
            <a:gd name="connsiteY1" fmla="*/ 374678 h 374678"/>
            <a:gd name="connsiteX2" fmla="*/ 343250 w 349725"/>
            <a:gd name="connsiteY2" fmla="*/ 318604 h 374678"/>
            <a:gd name="connsiteX3" fmla="*/ 349725 w 349725"/>
            <a:gd name="connsiteY3" fmla="*/ 0 h 3746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49725" h="374678">
              <a:moveTo>
                <a:pt x="349725" y="0"/>
              </a:moveTo>
              <a:lnTo>
                <a:pt x="0" y="374678"/>
              </a:lnTo>
              <a:lnTo>
                <a:pt x="343250" y="318604"/>
              </a:lnTo>
              <a:cubicBezTo>
                <a:pt x="345408" y="158428"/>
                <a:pt x="347567" y="160176"/>
                <a:pt x="349725" y="0"/>
              </a:cubicBezTo>
              <a:close/>
            </a:path>
          </a:pathLst>
        </a:custGeom>
        <a:solidFill>
          <a:schemeClr val="tx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232129</xdr:colOff>
      <xdr:row>14</xdr:row>
      <xdr:rowOff>533812</xdr:rowOff>
    </xdr:from>
    <xdr:to>
      <xdr:col>4</xdr:col>
      <xdr:colOff>1219679</xdr:colOff>
      <xdr:row>14</xdr:row>
      <xdr:rowOff>2556010</xdr:rowOff>
    </xdr:to>
    <xdr:sp macro="" textlink="">
      <xdr:nvSpPr>
        <xdr:cNvPr id="607" name="Полилиния 606"/>
        <xdr:cNvSpPr/>
      </xdr:nvSpPr>
      <xdr:spPr>
        <a:xfrm>
          <a:off x="3366720" y="24294357"/>
          <a:ext cx="987550" cy="2022198"/>
        </a:xfrm>
        <a:custGeom>
          <a:avLst/>
          <a:gdLst>
            <a:gd name="connsiteX0" fmla="*/ 9525 w 1400175"/>
            <a:gd name="connsiteY0" fmla="*/ 2647950 h 2647950"/>
            <a:gd name="connsiteX1" fmla="*/ 0 w 1400175"/>
            <a:gd name="connsiteY1" fmla="*/ 1409700 h 2647950"/>
            <a:gd name="connsiteX2" fmla="*/ 76200 w 1400175"/>
            <a:gd name="connsiteY2" fmla="*/ 1047750 h 2647950"/>
            <a:gd name="connsiteX3" fmla="*/ 247650 w 1400175"/>
            <a:gd name="connsiteY3" fmla="*/ 762000 h 2647950"/>
            <a:gd name="connsiteX4" fmla="*/ 647700 w 1400175"/>
            <a:gd name="connsiteY4" fmla="*/ 438150 h 2647950"/>
            <a:gd name="connsiteX5" fmla="*/ 781050 w 1400175"/>
            <a:gd name="connsiteY5" fmla="*/ 361950 h 2647950"/>
            <a:gd name="connsiteX6" fmla="*/ 781050 w 1400175"/>
            <a:gd name="connsiteY6" fmla="*/ 361950 h 2647950"/>
            <a:gd name="connsiteX7" fmla="*/ 857250 w 1400175"/>
            <a:gd name="connsiteY7" fmla="*/ 361950 h 2647950"/>
            <a:gd name="connsiteX8" fmla="*/ 847725 w 1400175"/>
            <a:gd name="connsiteY8" fmla="*/ 457200 h 2647950"/>
            <a:gd name="connsiteX9" fmla="*/ 638175 w 1400175"/>
            <a:gd name="connsiteY9" fmla="*/ 581025 h 2647950"/>
            <a:gd name="connsiteX10" fmla="*/ 381000 w 1400175"/>
            <a:gd name="connsiteY10" fmla="*/ 828675 h 2647950"/>
            <a:gd name="connsiteX11" fmla="*/ 295275 w 1400175"/>
            <a:gd name="connsiteY11" fmla="*/ 990600 h 2647950"/>
            <a:gd name="connsiteX12" fmla="*/ 228600 w 1400175"/>
            <a:gd name="connsiteY12" fmla="*/ 1114425 h 2647950"/>
            <a:gd name="connsiteX13" fmla="*/ 152400 w 1400175"/>
            <a:gd name="connsiteY13" fmla="*/ 1409700 h 2647950"/>
            <a:gd name="connsiteX14" fmla="*/ 171450 w 1400175"/>
            <a:gd name="connsiteY14" fmla="*/ 2352675 h 2647950"/>
            <a:gd name="connsiteX15" fmla="*/ 1009650 w 1400175"/>
            <a:gd name="connsiteY15" fmla="*/ 2333625 h 2647950"/>
            <a:gd name="connsiteX16" fmla="*/ 1114425 w 1400175"/>
            <a:gd name="connsiteY16" fmla="*/ 2324100 h 2647950"/>
            <a:gd name="connsiteX17" fmla="*/ 1095375 w 1400175"/>
            <a:gd name="connsiteY17" fmla="*/ 485775 h 2647950"/>
            <a:gd name="connsiteX18" fmla="*/ 1171575 w 1400175"/>
            <a:gd name="connsiteY18" fmla="*/ 247650 h 2647950"/>
            <a:gd name="connsiteX19" fmla="*/ 1400175 w 1400175"/>
            <a:gd name="connsiteY19" fmla="*/ 0 h 2647950"/>
            <a:gd name="connsiteX0" fmla="*/ 9525 w 1400175"/>
            <a:gd name="connsiteY0" fmla="*/ 2647950 h 2647950"/>
            <a:gd name="connsiteX1" fmla="*/ 0 w 1400175"/>
            <a:gd name="connsiteY1" fmla="*/ 1409700 h 2647950"/>
            <a:gd name="connsiteX2" fmla="*/ 76200 w 1400175"/>
            <a:gd name="connsiteY2" fmla="*/ 1047750 h 2647950"/>
            <a:gd name="connsiteX3" fmla="*/ 247650 w 1400175"/>
            <a:gd name="connsiteY3" fmla="*/ 762000 h 2647950"/>
            <a:gd name="connsiteX4" fmla="*/ 647700 w 1400175"/>
            <a:gd name="connsiteY4" fmla="*/ 438150 h 2647950"/>
            <a:gd name="connsiteX5" fmla="*/ 781050 w 1400175"/>
            <a:gd name="connsiteY5" fmla="*/ 361950 h 2647950"/>
            <a:gd name="connsiteX6" fmla="*/ 781050 w 1400175"/>
            <a:gd name="connsiteY6" fmla="*/ 361950 h 2647950"/>
            <a:gd name="connsiteX7" fmla="*/ 857250 w 1400175"/>
            <a:gd name="connsiteY7" fmla="*/ 361950 h 2647950"/>
            <a:gd name="connsiteX8" fmla="*/ 847725 w 1400175"/>
            <a:gd name="connsiteY8" fmla="*/ 457200 h 2647950"/>
            <a:gd name="connsiteX9" fmla="*/ 638175 w 1400175"/>
            <a:gd name="connsiteY9" fmla="*/ 581025 h 2647950"/>
            <a:gd name="connsiteX10" fmla="*/ 381000 w 1400175"/>
            <a:gd name="connsiteY10" fmla="*/ 828675 h 2647950"/>
            <a:gd name="connsiteX11" fmla="*/ 295275 w 1400175"/>
            <a:gd name="connsiteY11" fmla="*/ 990600 h 2647950"/>
            <a:gd name="connsiteX12" fmla="*/ 228600 w 1400175"/>
            <a:gd name="connsiteY12" fmla="*/ 1114425 h 2647950"/>
            <a:gd name="connsiteX13" fmla="*/ 152400 w 1400175"/>
            <a:gd name="connsiteY13" fmla="*/ 1409700 h 2647950"/>
            <a:gd name="connsiteX14" fmla="*/ 171450 w 1400175"/>
            <a:gd name="connsiteY14" fmla="*/ 2352675 h 2647950"/>
            <a:gd name="connsiteX15" fmla="*/ 942975 w 1400175"/>
            <a:gd name="connsiteY15" fmla="*/ 2352675 h 2647950"/>
            <a:gd name="connsiteX16" fmla="*/ 1114425 w 1400175"/>
            <a:gd name="connsiteY16" fmla="*/ 2324100 h 2647950"/>
            <a:gd name="connsiteX17" fmla="*/ 1095375 w 1400175"/>
            <a:gd name="connsiteY17" fmla="*/ 485775 h 2647950"/>
            <a:gd name="connsiteX18" fmla="*/ 1171575 w 1400175"/>
            <a:gd name="connsiteY18" fmla="*/ 247650 h 2647950"/>
            <a:gd name="connsiteX19" fmla="*/ 1400175 w 1400175"/>
            <a:gd name="connsiteY19" fmla="*/ 0 h 2647950"/>
            <a:gd name="connsiteX0" fmla="*/ 9525 w 1400175"/>
            <a:gd name="connsiteY0" fmla="*/ 2647950 h 2647950"/>
            <a:gd name="connsiteX1" fmla="*/ 0 w 1400175"/>
            <a:gd name="connsiteY1" fmla="*/ 1409700 h 2647950"/>
            <a:gd name="connsiteX2" fmla="*/ 76200 w 1400175"/>
            <a:gd name="connsiteY2" fmla="*/ 1047750 h 2647950"/>
            <a:gd name="connsiteX3" fmla="*/ 247650 w 1400175"/>
            <a:gd name="connsiteY3" fmla="*/ 762000 h 2647950"/>
            <a:gd name="connsiteX4" fmla="*/ 647700 w 1400175"/>
            <a:gd name="connsiteY4" fmla="*/ 438150 h 2647950"/>
            <a:gd name="connsiteX5" fmla="*/ 781050 w 1400175"/>
            <a:gd name="connsiteY5" fmla="*/ 361950 h 2647950"/>
            <a:gd name="connsiteX6" fmla="*/ 781050 w 1400175"/>
            <a:gd name="connsiteY6" fmla="*/ 361950 h 2647950"/>
            <a:gd name="connsiteX7" fmla="*/ 857250 w 1400175"/>
            <a:gd name="connsiteY7" fmla="*/ 361950 h 2647950"/>
            <a:gd name="connsiteX8" fmla="*/ 847725 w 1400175"/>
            <a:gd name="connsiteY8" fmla="*/ 457200 h 2647950"/>
            <a:gd name="connsiteX9" fmla="*/ 638175 w 1400175"/>
            <a:gd name="connsiteY9" fmla="*/ 581025 h 2647950"/>
            <a:gd name="connsiteX10" fmla="*/ 381000 w 1400175"/>
            <a:gd name="connsiteY10" fmla="*/ 828675 h 2647950"/>
            <a:gd name="connsiteX11" fmla="*/ 295275 w 1400175"/>
            <a:gd name="connsiteY11" fmla="*/ 990600 h 2647950"/>
            <a:gd name="connsiteX12" fmla="*/ 228600 w 1400175"/>
            <a:gd name="connsiteY12" fmla="*/ 1114425 h 2647950"/>
            <a:gd name="connsiteX13" fmla="*/ 152400 w 1400175"/>
            <a:gd name="connsiteY13" fmla="*/ 1409700 h 2647950"/>
            <a:gd name="connsiteX14" fmla="*/ 171450 w 1400175"/>
            <a:gd name="connsiteY14" fmla="*/ 2352675 h 2647950"/>
            <a:gd name="connsiteX15" fmla="*/ 1114425 w 1400175"/>
            <a:gd name="connsiteY15" fmla="*/ 2324100 h 2647950"/>
            <a:gd name="connsiteX16" fmla="*/ 1095375 w 1400175"/>
            <a:gd name="connsiteY16" fmla="*/ 485775 h 2647950"/>
            <a:gd name="connsiteX17" fmla="*/ 1171575 w 1400175"/>
            <a:gd name="connsiteY17" fmla="*/ 247650 h 2647950"/>
            <a:gd name="connsiteX18" fmla="*/ 1400175 w 1400175"/>
            <a:gd name="connsiteY18" fmla="*/ 0 h 2647950"/>
            <a:gd name="connsiteX0" fmla="*/ 9525 w 1400175"/>
            <a:gd name="connsiteY0" fmla="*/ 2647950 h 2647950"/>
            <a:gd name="connsiteX1" fmla="*/ 0 w 1400175"/>
            <a:gd name="connsiteY1" fmla="*/ 1409700 h 2647950"/>
            <a:gd name="connsiteX2" fmla="*/ 76200 w 1400175"/>
            <a:gd name="connsiteY2" fmla="*/ 1047750 h 2647950"/>
            <a:gd name="connsiteX3" fmla="*/ 247650 w 1400175"/>
            <a:gd name="connsiteY3" fmla="*/ 762000 h 2647950"/>
            <a:gd name="connsiteX4" fmla="*/ 647700 w 1400175"/>
            <a:gd name="connsiteY4" fmla="*/ 438150 h 2647950"/>
            <a:gd name="connsiteX5" fmla="*/ 781050 w 1400175"/>
            <a:gd name="connsiteY5" fmla="*/ 361950 h 2647950"/>
            <a:gd name="connsiteX6" fmla="*/ 781050 w 1400175"/>
            <a:gd name="connsiteY6" fmla="*/ 361950 h 2647950"/>
            <a:gd name="connsiteX7" fmla="*/ 857250 w 1400175"/>
            <a:gd name="connsiteY7" fmla="*/ 361950 h 2647950"/>
            <a:gd name="connsiteX8" fmla="*/ 847725 w 1400175"/>
            <a:gd name="connsiteY8" fmla="*/ 457200 h 2647950"/>
            <a:gd name="connsiteX9" fmla="*/ 638175 w 1400175"/>
            <a:gd name="connsiteY9" fmla="*/ 581025 h 2647950"/>
            <a:gd name="connsiteX10" fmla="*/ 381000 w 1400175"/>
            <a:gd name="connsiteY10" fmla="*/ 828675 h 2647950"/>
            <a:gd name="connsiteX11" fmla="*/ 295275 w 1400175"/>
            <a:gd name="connsiteY11" fmla="*/ 990600 h 2647950"/>
            <a:gd name="connsiteX12" fmla="*/ 228600 w 1400175"/>
            <a:gd name="connsiteY12" fmla="*/ 1114425 h 2647950"/>
            <a:gd name="connsiteX13" fmla="*/ 152400 w 1400175"/>
            <a:gd name="connsiteY13" fmla="*/ 1409700 h 2647950"/>
            <a:gd name="connsiteX14" fmla="*/ 171450 w 1400175"/>
            <a:gd name="connsiteY14" fmla="*/ 2352675 h 2647950"/>
            <a:gd name="connsiteX15" fmla="*/ 1123950 w 1400175"/>
            <a:gd name="connsiteY15" fmla="*/ 2333625 h 2647950"/>
            <a:gd name="connsiteX16" fmla="*/ 1095375 w 1400175"/>
            <a:gd name="connsiteY16" fmla="*/ 485775 h 2647950"/>
            <a:gd name="connsiteX17" fmla="*/ 1171575 w 1400175"/>
            <a:gd name="connsiteY17" fmla="*/ 247650 h 2647950"/>
            <a:gd name="connsiteX18" fmla="*/ 1400175 w 1400175"/>
            <a:gd name="connsiteY18" fmla="*/ 0 h 2647950"/>
            <a:gd name="connsiteX0" fmla="*/ 9525 w 1400175"/>
            <a:gd name="connsiteY0" fmla="*/ 2647950 h 2647950"/>
            <a:gd name="connsiteX1" fmla="*/ 0 w 1400175"/>
            <a:gd name="connsiteY1" fmla="*/ 1409700 h 2647950"/>
            <a:gd name="connsiteX2" fmla="*/ 76200 w 1400175"/>
            <a:gd name="connsiteY2" fmla="*/ 1047750 h 2647950"/>
            <a:gd name="connsiteX3" fmla="*/ 247650 w 1400175"/>
            <a:gd name="connsiteY3" fmla="*/ 762000 h 2647950"/>
            <a:gd name="connsiteX4" fmla="*/ 647700 w 1400175"/>
            <a:gd name="connsiteY4" fmla="*/ 438150 h 2647950"/>
            <a:gd name="connsiteX5" fmla="*/ 781050 w 1400175"/>
            <a:gd name="connsiteY5" fmla="*/ 361950 h 2647950"/>
            <a:gd name="connsiteX6" fmla="*/ 781050 w 1400175"/>
            <a:gd name="connsiteY6" fmla="*/ 361950 h 2647950"/>
            <a:gd name="connsiteX7" fmla="*/ 857250 w 1400175"/>
            <a:gd name="connsiteY7" fmla="*/ 361950 h 2647950"/>
            <a:gd name="connsiteX8" fmla="*/ 847725 w 1400175"/>
            <a:gd name="connsiteY8" fmla="*/ 457200 h 2647950"/>
            <a:gd name="connsiteX9" fmla="*/ 638175 w 1400175"/>
            <a:gd name="connsiteY9" fmla="*/ 581025 h 2647950"/>
            <a:gd name="connsiteX10" fmla="*/ 381000 w 1400175"/>
            <a:gd name="connsiteY10" fmla="*/ 828675 h 2647950"/>
            <a:gd name="connsiteX11" fmla="*/ 295275 w 1400175"/>
            <a:gd name="connsiteY11" fmla="*/ 990600 h 2647950"/>
            <a:gd name="connsiteX12" fmla="*/ 228600 w 1400175"/>
            <a:gd name="connsiteY12" fmla="*/ 1114425 h 2647950"/>
            <a:gd name="connsiteX13" fmla="*/ 152400 w 1400175"/>
            <a:gd name="connsiteY13" fmla="*/ 1409700 h 2647950"/>
            <a:gd name="connsiteX14" fmla="*/ 171450 w 1400175"/>
            <a:gd name="connsiteY14" fmla="*/ 2352675 h 2647950"/>
            <a:gd name="connsiteX15" fmla="*/ 1114425 w 1400175"/>
            <a:gd name="connsiteY15" fmla="*/ 2343150 h 2647950"/>
            <a:gd name="connsiteX16" fmla="*/ 1095375 w 1400175"/>
            <a:gd name="connsiteY16" fmla="*/ 485775 h 2647950"/>
            <a:gd name="connsiteX17" fmla="*/ 1171575 w 1400175"/>
            <a:gd name="connsiteY17" fmla="*/ 247650 h 2647950"/>
            <a:gd name="connsiteX18" fmla="*/ 1400175 w 1400175"/>
            <a:gd name="connsiteY18" fmla="*/ 0 h 2647950"/>
            <a:gd name="connsiteX0" fmla="*/ 9525 w 1400175"/>
            <a:gd name="connsiteY0" fmla="*/ 2647950 h 2647950"/>
            <a:gd name="connsiteX1" fmla="*/ 0 w 1400175"/>
            <a:gd name="connsiteY1" fmla="*/ 1409700 h 2647950"/>
            <a:gd name="connsiteX2" fmla="*/ 76200 w 1400175"/>
            <a:gd name="connsiteY2" fmla="*/ 1047750 h 2647950"/>
            <a:gd name="connsiteX3" fmla="*/ 247650 w 1400175"/>
            <a:gd name="connsiteY3" fmla="*/ 762000 h 2647950"/>
            <a:gd name="connsiteX4" fmla="*/ 647700 w 1400175"/>
            <a:gd name="connsiteY4" fmla="*/ 438150 h 2647950"/>
            <a:gd name="connsiteX5" fmla="*/ 781050 w 1400175"/>
            <a:gd name="connsiteY5" fmla="*/ 361950 h 2647950"/>
            <a:gd name="connsiteX6" fmla="*/ 781050 w 1400175"/>
            <a:gd name="connsiteY6" fmla="*/ 361950 h 2647950"/>
            <a:gd name="connsiteX7" fmla="*/ 857250 w 1400175"/>
            <a:gd name="connsiteY7" fmla="*/ 361950 h 2647950"/>
            <a:gd name="connsiteX8" fmla="*/ 847725 w 1400175"/>
            <a:gd name="connsiteY8" fmla="*/ 457200 h 2647950"/>
            <a:gd name="connsiteX9" fmla="*/ 638175 w 1400175"/>
            <a:gd name="connsiteY9" fmla="*/ 581025 h 2647950"/>
            <a:gd name="connsiteX10" fmla="*/ 381000 w 1400175"/>
            <a:gd name="connsiteY10" fmla="*/ 828675 h 2647950"/>
            <a:gd name="connsiteX11" fmla="*/ 295275 w 1400175"/>
            <a:gd name="connsiteY11" fmla="*/ 990600 h 2647950"/>
            <a:gd name="connsiteX12" fmla="*/ 228600 w 1400175"/>
            <a:gd name="connsiteY12" fmla="*/ 1114425 h 2647950"/>
            <a:gd name="connsiteX13" fmla="*/ 152400 w 1400175"/>
            <a:gd name="connsiteY13" fmla="*/ 1409700 h 2647950"/>
            <a:gd name="connsiteX14" fmla="*/ 171450 w 1400175"/>
            <a:gd name="connsiteY14" fmla="*/ 2352675 h 2647950"/>
            <a:gd name="connsiteX15" fmla="*/ 1114425 w 1400175"/>
            <a:gd name="connsiteY15" fmla="*/ 2352675 h 2647950"/>
            <a:gd name="connsiteX16" fmla="*/ 1095375 w 1400175"/>
            <a:gd name="connsiteY16" fmla="*/ 485775 h 2647950"/>
            <a:gd name="connsiteX17" fmla="*/ 1171575 w 1400175"/>
            <a:gd name="connsiteY17" fmla="*/ 247650 h 2647950"/>
            <a:gd name="connsiteX18" fmla="*/ 1400175 w 1400175"/>
            <a:gd name="connsiteY18" fmla="*/ 0 h 2647950"/>
            <a:gd name="connsiteX0" fmla="*/ 9525 w 1400175"/>
            <a:gd name="connsiteY0" fmla="*/ 2647950 h 2647950"/>
            <a:gd name="connsiteX1" fmla="*/ 0 w 1400175"/>
            <a:gd name="connsiteY1" fmla="*/ 1409700 h 2647950"/>
            <a:gd name="connsiteX2" fmla="*/ 76200 w 1400175"/>
            <a:gd name="connsiteY2" fmla="*/ 1047750 h 2647950"/>
            <a:gd name="connsiteX3" fmla="*/ 247650 w 1400175"/>
            <a:gd name="connsiteY3" fmla="*/ 762000 h 2647950"/>
            <a:gd name="connsiteX4" fmla="*/ 647700 w 1400175"/>
            <a:gd name="connsiteY4" fmla="*/ 438150 h 2647950"/>
            <a:gd name="connsiteX5" fmla="*/ 781050 w 1400175"/>
            <a:gd name="connsiteY5" fmla="*/ 361950 h 2647950"/>
            <a:gd name="connsiteX6" fmla="*/ 781050 w 1400175"/>
            <a:gd name="connsiteY6" fmla="*/ 361950 h 2647950"/>
            <a:gd name="connsiteX7" fmla="*/ 857250 w 1400175"/>
            <a:gd name="connsiteY7" fmla="*/ 361950 h 2647950"/>
            <a:gd name="connsiteX8" fmla="*/ 847725 w 1400175"/>
            <a:gd name="connsiteY8" fmla="*/ 457200 h 2647950"/>
            <a:gd name="connsiteX9" fmla="*/ 638175 w 1400175"/>
            <a:gd name="connsiteY9" fmla="*/ 581025 h 2647950"/>
            <a:gd name="connsiteX10" fmla="*/ 381000 w 1400175"/>
            <a:gd name="connsiteY10" fmla="*/ 828675 h 2647950"/>
            <a:gd name="connsiteX11" fmla="*/ 295275 w 1400175"/>
            <a:gd name="connsiteY11" fmla="*/ 990600 h 2647950"/>
            <a:gd name="connsiteX12" fmla="*/ 228600 w 1400175"/>
            <a:gd name="connsiteY12" fmla="*/ 1114425 h 2647950"/>
            <a:gd name="connsiteX13" fmla="*/ 152400 w 1400175"/>
            <a:gd name="connsiteY13" fmla="*/ 1409700 h 2647950"/>
            <a:gd name="connsiteX14" fmla="*/ 171450 w 1400175"/>
            <a:gd name="connsiteY14" fmla="*/ 2352675 h 2647950"/>
            <a:gd name="connsiteX15" fmla="*/ 1114425 w 1400175"/>
            <a:gd name="connsiteY15" fmla="*/ 2352675 h 2647950"/>
            <a:gd name="connsiteX16" fmla="*/ 1095375 w 1400175"/>
            <a:gd name="connsiteY16" fmla="*/ 485775 h 2647950"/>
            <a:gd name="connsiteX17" fmla="*/ 1171575 w 1400175"/>
            <a:gd name="connsiteY17" fmla="*/ 247650 h 2647950"/>
            <a:gd name="connsiteX18" fmla="*/ 1400175 w 1400175"/>
            <a:gd name="connsiteY18" fmla="*/ 0 h 2647950"/>
            <a:gd name="connsiteX0" fmla="*/ 9525 w 1400175"/>
            <a:gd name="connsiteY0" fmla="*/ 2647950 h 2647950"/>
            <a:gd name="connsiteX1" fmla="*/ 0 w 1400175"/>
            <a:gd name="connsiteY1" fmla="*/ 1409700 h 2647950"/>
            <a:gd name="connsiteX2" fmla="*/ 76200 w 1400175"/>
            <a:gd name="connsiteY2" fmla="*/ 1047750 h 2647950"/>
            <a:gd name="connsiteX3" fmla="*/ 247650 w 1400175"/>
            <a:gd name="connsiteY3" fmla="*/ 762000 h 2647950"/>
            <a:gd name="connsiteX4" fmla="*/ 647700 w 1400175"/>
            <a:gd name="connsiteY4" fmla="*/ 438150 h 2647950"/>
            <a:gd name="connsiteX5" fmla="*/ 781050 w 1400175"/>
            <a:gd name="connsiteY5" fmla="*/ 361950 h 2647950"/>
            <a:gd name="connsiteX6" fmla="*/ 781050 w 1400175"/>
            <a:gd name="connsiteY6" fmla="*/ 361950 h 2647950"/>
            <a:gd name="connsiteX7" fmla="*/ 857250 w 1400175"/>
            <a:gd name="connsiteY7" fmla="*/ 361950 h 2647950"/>
            <a:gd name="connsiteX8" fmla="*/ 847725 w 1400175"/>
            <a:gd name="connsiteY8" fmla="*/ 457200 h 2647950"/>
            <a:gd name="connsiteX9" fmla="*/ 638175 w 1400175"/>
            <a:gd name="connsiteY9" fmla="*/ 581025 h 2647950"/>
            <a:gd name="connsiteX10" fmla="*/ 381000 w 1400175"/>
            <a:gd name="connsiteY10" fmla="*/ 828675 h 2647950"/>
            <a:gd name="connsiteX11" fmla="*/ 295275 w 1400175"/>
            <a:gd name="connsiteY11" fmla="*/ 990600 h 2647950"/>
            <a:gd name="connsiteX12" fmla="*/ 228600 w 1400175"/>
            <a:gd name="connsiteY12" fmla="*/ 1114425 h 2647950"/>
            <a:gd name="connsiteX13" fmla="*/ 152400 w 1400175"/>
            <a:gd name="connsiteY13" fmla="*/ 1409700 h 2647950"/>
            <a:gd name="connsiteX14" fmla="*/ 171450 w 1400175"/>
            <a:gd name="connsiteY14" fmla="*/ 2352675 h 2647950"/>
            <a:gd name="connsiteX15" fmla="*/ 1114425 w 1400175"/>
            <a:gd name="connsiteY15" fmla="*/ 2352675 h 2647950"/>
            <a:gd name="connsiteX16" fmla="*/ 1095375 w 1400175"/>
            <a:gd name="connsiteY16" fmla="*/ 485775 h 2647950"/>
            <a:gd name="connsiteX17" fmla="*/ 1171575 w 1400175"/>
            <a:gd name="connsiteY17" fmla="*/ 247650 h 2647950"/>
            <a:gd name="connsiteX18" fmla="*/ 1400175 w 1400175"/>
            <a:gd name="connsiteY18" fmla="*/ 0 h 2647950"/>
            <a:gd name="connsiteX0" fmla="*/ 9525 w 1400175"/>
            <a:gd name="connsiteY0" fmla="*/ 2647950 h 2647950"/>
            <a:gd name="connsiteX1" fmla="*/ 0 w 1400175"/>
            <a:gd name="connsiteY1" fmla="*/ 1409700 h 2647950"/>
            <a:gd name="connsiteX2" fmla="*/ 76200 w 1400175"/>
            <a:gd name="connsiteY2" fmla="*/ 1047750 h 2647950"/>
            <a:gd name="connsiteX3" fmla="*/ 247650 w 1400175"/>
            <a:gd name="connsiteY3" fmla="*/ 762000 h 2647950"/>
            <a:gd name="connsiteX4" fmla="*/ 647700 w 1400175"/>
            <a:gd name="connsiteY4" fmla="*/ 438150 h 2647950"/>
            <a:gd name="connsiteX5" fmla="*/ 781050 w 1400175"/>
            <a:gd name="connsiteY5" fmla="*/ 361950 h 2647950"/>
            <a:gd name="connsiteX6" fmla="*/ 781050 w 1400175"/>
            <a:gd name="connsiteY6" fmla="*/ 361950 h 2647950"/>
            <a:gd name="connsiteX7" fmla="*/ 857250 w 1400175"/>
            <a:gd name="connsiteY7" fmla="*/ 361950 h 2647950"/>
            <a:gd name="connsiteX8" fmla="*/ 847725 w 1400175"/>
            <a:gd name="connsiteY8" fmla="*/ 457200 h 2647950"/>
            <a:gd name="connsiteX9" fmla="*/ 638175 w 1400175"/>
            <a:gd name="connsiteY9" fmla="*/ 581025 h 2647950"/>
            <a:gd name="connsiteX10" fmla="*/ 381000 w 1400175"/>
            <a:gd name="connsiteY10" fmla="*/ 828675 h 2647950"/>
            <a:gd name="connsiteX11" fmla="*/ 295275 w 1400175"/>
            <a:gd name="connsiteY11" fmla="*/ 990600 h 2647950"/>
            <a:gd name="connsiteX12" fmla="*/ 228600 w 1400175"/>
            <a:gd name="connsiteY12" fmla="*/ 1114425 h 2647950"/>
            <a:gd name="connsiteX13" fmla="*/ 152400 w 1400175"/>
            <a:gd name="connsiteY13" fmla="*/ 1409700 h 2647950"/>
            <a:gd name="connsiteX14" fmla="*/ 171450 w 1400175"/>
            <a:gd name="connsiteY14" fmla="*/ 2352675 h 2647950"/>
            <a:gd name="connsiteX15" fmla="*/ 1114425 w 1400175"/>
            <a:gd name="connsiteY15" fmla="*/ 2352675 h 2647950"/>
            <a:gd name="connsiteX16" fmla="*/ 1095375 w 1400175"/>
            <a:gd name="connsiteY16" fmla="*/ 485775 h 2647950"/>
            <a:gd name="connsiteX17" fmla="*/ 1171575 w 1400175"/>
            <a:gd name="connsiteY17" fmla="*/ 247650 h 2647950"/>
            <a:gd name="connsiteX18" fmla="*/ 1400175 w 1400175"/>
            <a:gd name="connsiteY18" fmla="*/ 0 h 2647950"/>
            <a:gd name="connsiteX0" fmla="*/ 13181 w 1403831"/>
            <a:gd name="connsiteY0" fmla="*/ 2647950 h 2647950"/>
            <a:gd name="connsiteX1" fmla="*/ 3656 w 1403831"/>
            <a:gd name="connsiteY1" fmla="*/ 1409700 h 2647950"/>
            <a:gd name="connsiteX2" fmla="*/ 79856 w 1403831"/>
            <a:gd name="connsiteY2" fmla="*/ 1047750 h 2647950"/>
            <a:gd name="connsiteX3" fmla="*/ 251306 w 1403831"/>
            <a:gd name="connsiteY3" fmla="*/ 762000 h 2647950"/>
            <a:gd name="connsiteX4" fmla="*/ 651356 w 1403831"/>
            <a:gd name="connsiteY4" fmla="*/ 438150 h 2647950"/>
            <a:gd name="connsiteX5" fmla="*/ 784706 w 1403831"/>
            <a:gd name="connsiteY5" fmla="*/ 361950 h 2647950"/>
            <a:gd name="connsiteX6" fmla="*/ 784706 w 1403831"/>
            <a:gd name="connsiteY6" fmla="*/ 361950 h 2647950"/>
            <a:gd name="connsiteX7" fmla="*/ 860906 w 1403831"/>
            <a:gd name="connsiteY7" fmla="*/ 361950 h 2647950"/>
            <a:gd name="connsiteX8" fmla="*/ 851381 w 1403831"/>
            <a:gd name="connsiteY8" fmla="*/ 457200 h 2647950"/>
            <a:gd name="connsiteX9" fmla="*/ 641831 w 1403831"/>
            <a:gd name="connsiteY9" fmla="*/ 581025 h 2647950"/>
            <a:gd name="connsiteX10" fmla="*/ 384656 w 1403831"/>
            <a:gd name="connsiteY10" fmla="*/ 828675 h 2647950"/>
            <a:gd name="connsiteX11" fmla="*/ 298931 w 1403831"/>
            <a:gd name="connsiteY11" fmla="*/ 990600 h 2647950"/>
            <a:gd name="connsiteX12" fmla="*/ 232256 w 1403831"/>
            <a:gd name="connsiteY12" fmla="*/ 1114425 h 2647950"/>
            <a:gd name="connsiteX13" fmla="*/ 156056 w 1403831"/>
            <a:gd name="connsiteY13" fmla="*/ 1409700 h 2647950"/>
            <a:gd name="connsiteX14" fmla="*/ 175106 w 1403831"/>
            <a:gd name="connsiteY14" fmla="*/ 2352675 h 2647950"/>
            <a:gd name="connsiteX15" fmla="*/ 1118081 w 1403831"/>
            <a:gd name="connsiteY15" fmla="*/ 2352675 h 2647950"/>
            <a:gd name="connsiteX16" fmla="*/ 1099031 w 1403831"/>
            <a:gd name="connsiteY16" fmla="*/ 485775 h 2647950"/>
            <a:gd name="connsiteX17" fmla="*/ 1175231 w 1403831"/>
            <a:gd name="connsiteY17" fmla="*/ 247650 h 2647950"/>
            <a:gd name="connsiteX18" fmla="*/ 1403831 w 1403831"/>
            <a:gd name="connsiteY18" fmla="*/ 0 h 2647950"/>
            <a:gd name="connsiteX0" fmla="*/ 13181 w 1403831"/>
            <a:gd name="connsiteY0" fmla="*/ 2647950 h 2647950"/>
            <a:gd name="connsiteX1" fmla="*/ 3656 w 1403831"/>
            <a:gd name="connsiteY1" fmla="*/ 1409700 h 2647950"/>
            <a:gd name="connsiteX2" fmla="*/ 79856 w 1403831"/>
            <a:gd name="connsiteY2" fmla="*/ 1047750 h 2647950"/>
            <a:gd name="connsiteX3" fmla="*/ 251306 w 1403831"/>
            <a:gd name="connsiteY3" fmla="*/ 762000 h 2647950"/>
            <a:gd name="connsiteX4" fmla="*/ 651356 w 1403831"/>
            <a:gd name="connsiteY4" fmla="*/ 438150 h 2647950"/>
            <a:gd name="connsiteX5" fmla="*/ 784706 w 1403831"/>
            <a:gd name="connsiteY5" fmla="*/ 361950 h 2647950"/>
            <a:gd name="connsiteX6" fmla="*/ 784706 w 1403831"/>
            <a:gd name="connsiteY6" fmla="*/ 361950 h 2647950"/>
            <a:gd name="connsiteX7" fmla="*/ 860906 w 1403831"/>
            <a:gd name="connsiteY7" fmla="*/ 361950 h 2647950"/>
            <a:gd name="connsiteX8" fmla="*/ 851381 w 1403831"/>
            <a:gd name="connsiteY8" fmla="*/ 457200 h 2647950"/>
            <a:gd name="connsiteX9" fmla="*/ 641831 w 1403831"/>
            <a:gd name="connsiteY9" fmla="*/ 581025 h 2647950"/>
            <a:gd name="connsiteX10" fmla="*/ 384656 w 1403831"/>
            <a:gd name="connsiteY10" fmla="*/ 828675 h 2647950"/>
            <a:gd name="connsiteX11" fmla="*/ 298931 w 1403831"/>
            <a:gd name="connsiteY11" fmla="*/ 990600 h 2647950"/>
            <a:gd name="connsiteX12" fmla="*/ 232256 w 1403831"/>
            <a:gd name="connsiteY12" fmla="*/ 1114425 h 2647950"/>
            <a:gd name="connsiteX13" fmla="*/ 156056 w 1403831"/>
            <a:gd name="connsiteY13" fmla="*/ 1409700 h 2647950"/>
            <a:gd name="connsiteX14" fmla="*/ 175106 w 1403831"/>
            <a:gd name="connsiteY14" fmla="*/ 2352675 h 2647950"/>
            <a:gd name="connsiteX15" fmla="*/ 1118081 w 1403831"/>
            <a:gd name="connsiteY15" fmla="*/ 2352675 h 2647950"/>
            <a:gd name="connsiteX16" fmla="*/ 1099031 w 1403831"/>
            <a:gd name="connsiteY16" fmla="*/ 485775 h 2647950"/>
            <a:gd name="connsiteX17" fmla="*/ 1175231 w 1403831"/>
            <a:gd name="connsiteY17" fmla="*/ 247650 h 2647950"/>
            <a:gd name="connsiteX18" fmla="*/ 1403831 w 1403831"/>
            <a:gd name="connsiteY18" fmla="*/ 0 h 2647950"/>
            <a:gd name="connsiteX0" fmla="*/ 13181 w 1403831"/>
            <a:gd name="connsiteY0" fmla="*/ 2647950 h 2647950"/>
            <a:gd name="connsiteX1" fmla="*/ 3656 w 1403831"/>
            <a:gd name="connsiteY1" fmla="*/ 1409700 h 2647950"/>
            <a:gd name="connsiteX2" fmla="*/ 79856 w 1403831"/>
            <a:gd name="connsiteY2" fmla="*/ 1047750 h 2647950"/>
            <a:gd name="connsiteX3" fmla="*/ 251306 w 1403831"/>
            <a:gd name="connsiteY3" fmla="*/ 762000 h 2647950"/>
            <a:gd name="connsiteX4" fmla="*/ 651356 w 1403831"/>
            <a:gd name="connsiteY4" fmla="*/ 438150 h 2647950"/>
            <a:gd name="connsiteX5" fmla="*/ 784706 w 1403831"/>
            <a:gd name="connsiteY5" fmla="*/ 361950 h 2647950"/>
            <a:gd name="connsiteX6" fmla="*/ 784706 w 1403831"/>
            <a:gd name="connsiteY6" fmla="*/ 361950 h 2647950"/>
            <a:gd name="connsiteX7" fmla="*/ 860906 w 1403831"/>
            <a:gd name="connsiteY7" fmla="*/ 361950 h 2647950"/>
            <a:gd name="connsiteX8" fmla="*/ 851381 w 1403831"/>
            <a:gd name="connsiteY8" fmla="*/ 457200 h 2647950"/>
            <a:gd name="connsiteX9" fmla="*/ 641831 w 1403831"/>
            <a:gd name="connsiteY9" fmla="*/ 581025 h 2647950"/>
            <a:gd name="connsiteX10" fmla="*/ 384656 w 1403831"/>
            <a:gd name="connsiteY10" fmla="*/ 828675 h 2647950"/>
            <a:gd name="connsiteX11" fmla="*/ 298931 w 1403831"/>
            <a:gd name="connsiteY11" fmla="*/ 990600 h 2647950"/>
            <a:gd name="connsiteX12" fmla="*/ 232256 w 1403831"/>
            <a:gd name="connsiteY12" fmla="*/ 1114425 h 2647950"/>
            <a:gd name="connsiteX13" fmla="*/ 156056 w 1403831"/>
            <a:gd name="connsiteY13" fmla="*/ 1409700 h 2647950"/>
            <a:gd name="connsiteX14" fmla="*/ 175106 w 1403831"/>
            <a:gd name="connsiteY14" fmla="*/ 2352675 h 2647950"/>
            <a:gd name="connsiteX15" fmla="*/ 1118081 w 1403831"/>
            <a:gd name="connsiteY15" fmla="*/ 2352675 h 2647950"/>
            <a:gd name="connsiteX16" fmla="*/ 1099031 w 1403831"/>
            <a:gd name="connsiteY16" fmla="*/ 485775 h 2647950"/>
            <a:gd name="connsiteX17" fmla="*/ 1175231 w 1403831"/>
            <a:gd name="connsiteY17" fmla="*/ 247650 h 2647950"/>
            <a:gd name="connsiteX18" fmla="*/ 1403831 w 1403831"/>
            <a:gd name="connsiteY18" fmla="*/ 0 h 2647950"/>
            <a:gd name="connsiteX0" fmla="*/ 13181 w 1403831"/>
            <a:gd name="connsiteY0" fmla="*/ 2647950 h 2647950"/>
            <a:gd name="connsiteX1" fmla="*/ 3656 w 1403831"/>
            <a:gd name="connsiteY1" fmla="*/ 1409700 h 2647950"/>
            <a:gd name="connsiteX2" fmla="*/ 79856 w 1403831"/>
            <a:gd name="connsiteY2" fmla="*/ 1047750 h 2647950"/>
            <a:gd name="connsiteX3" fmla="*/ 251306 w 1403831"/>
            <a:gd name="connsiteY3" fmla="*/ 762000 h 2647950"/>
            <a:gd name="connsiteX4" fmla="*/ 651356 w 1403831"/>
            <a:gd name="connsiteY4" fmla="*/ 438150 h 2647950"/>
            <a:gd name="connsiteX5" fmla="*/ 784706 w 1403831"/>
            <a:gd name="connsiteY5" fmla="*/ 361950 h 2647950"/>
            <a:gd name="connsiteX6" fmla="*/ 784706 w 1403831"/>
            <a:gd name="connsiteY6" fmla="*/ 361950 h 2647950"/>
            <a:gd name="connsiteX7" fmla="*/ 860906 w 1403831"/>
            <a:gd name="connsiteY7" fmla="*/ 361950 h 2647950"/>
            <a:gd name="connsiteX8" fmla="*/ 851381 w 1403831"/>
            <a:gd name="connsiteY8" fmla="*/ 457200 h 2647950"/>
            <a:gd name="connsiteX9" fmla="*/ 641831 w 1403831"/>
            <a:gd name="connsiteY9" fmla="*/ 581025 h 2647950"/>
            <a:gd name="connsiteX10" fmla="*/ 384656 w 1403831"/>
            <a:gd name="connsiteY10" fmla="*/ 828675 h 2647950"/>
            <a:gd name="connsiteX11" fmla="*/ 298931 w 1403831"/>
            <a:gd name="connsiteY11" fmla="*/ 990600 h 2647950"/>
            <a:gd name="connsiteX12" fmla="*/ 232256 w 1403831"/>
            <a:gd name="connsiteY12" fmla="*/ 1114425 h 2647950"/>
            <a:gd name="connsiteX13" fmla="*/ 156056 w 1403831"/>
            <a:gd name="connsiteY13" fmla="*/ 1409700 h 2647950"/>
            <a:gd name="connsiteX14" fmla="*/ 175106 w 1403831"/>
            <a:gd name="connsiteY14" fmla="*/ 2352675 h 2647950"/>
            <a:gd name="connsiteX15" fmla="*/ 1118081 w 1403831"/>
            <a:gd name="connsiteY15" fmla="*/ 2352675 h 2647950"/>
            <a:gd name="connsiteX16" fmla="*/ 1099031 w 1403831"/>
            <a:gd name="connsiteY16" fmla="*/ 485775 h 2647950"/>
            <a:gd name="connsiteX17" fmla="*/ 1175231 w 1403831"/>
            <a:gd name="connsiteY17" fmla="*/ 247650 h 2647950"/>
            <a:gd name="connsiteX18" fmla="*/ 1403831 w 1403831"/>
            <a:gd name="connsiteY18" fmla="*/ 0 h 2647950"/>
            <a:gd name="connsiteX0" fmla="*/ 13181 w 1403831"/>
            <a:gd name="connsiteY0" fmla="*/ 2647950 h 2647950"/>
            <a:gd name="connsiteX1" fmla="*/ 3656 w 1403831"/>
            <a:gd name="connsiteY1" fmla="*/ 1409700 h 2647950"/>
            <a:gd name="connsiteX2" fmla="*/ 79856 w 1403831"/>
            <a:gd name="connsiteY2" fmla="*/ 1047750 h 2647950"/>
            <a:gd name="connsiteX3" fmla="*/ 251306 w 1403831"/>
            <a:gd name="connsiteY3" fmla="*/ 762000 h 2647950"/>
            <a:gd name="connsiteX4" fmla="*/ 651356 w 1403831"/>
            <a:gd name="connsiteY4" fmla="*/ 438150 h 2647950"/>
            <a:gd name="connsiteX5" fmla="*/ 784706 w 1403831"/>
            <a:gd name="connsiteY5" fmla="*/ 361950 h 2647950"/>
            <a:gd name="connsiteX6" fmla="*/ 784706 w 1403831"/>
            <a:gd name="connsiteY6" fmla="*/ 361950 h 2647950"/>
            <a:gd name="connsiteX7" fmla="*/ 860906 w 1403831"/>
            <a:gd name="connsiteY7" fmla="*/ 361950 h 2647950"/>
            <a:gd name="connsiteX8" fmla="*/ 851381 w 1403831"/>
            <a:gd name="connsiteY8" fmla="*/ 457200 h 2647950"/>
            <a:gd name="connsiteX9" fmla="*/ 641831 w 1403831"/>
            <a:gd name="connsiteY9" fmla="*/ 581025 h 2647950"/>
            <a:gd name="connsiteX10" fmla="*/ 384656 w 1403831"/>
            <a:gd name="connsiteY10" fmla="*/ 828675 h 2647950"/>
            <a:gd name="connsiteX11" fmla="*/ 298931 w 1403831"/>
            <a:gd name="connsiteY11" fmla="*/ 990600 h 2647950"/>
            <a:gd name="connsiteX12" fmla="*/ 232256 w 1403831"/>
            <a:gd name="connsiteY12" fmla="*/ 1114425 h 2647950"/>
            <a:gd name="connsiteX13" fmla="*/ 156056 w 1403831"/>
            <a:gd name="connsiteY13" fmla="*/ 1409700 h 2647950"/>
            <a:gd name="connsiteX14" fmla="*/ 175106 w 1403831"/>
            <a:gd name="connsiteY14" fmla="*/ 2352675 h 2647950"/>
            <a:gd name="connsiteX15" fmla="*/ 1118081 w 1403831"/>
            <a:gd name="connsiteY15" fmla="*/ 2352675 h 2647950"/>
            <a:gd name="connsiteX16" fmla="*/ 1099031 w 1403831"/>
            <a:gd name="connsiteY16" fmla="*/ 485775 h 2647950"/>
            <a:gd name="connsiteX17" fmla="*/ 1175231 w 1403831"/>
            <a:gd name="connsiteY17" fmla="*/ 247650 h 2647950"/>
            <a:gd name="connsiteX18" fmla="*/ 1403831 w 1403831"/>
            <a:gd name="connsiteY18" fmla="*/ 0 h 2647950"/>
            <a:gd name="connsiteX0" fmla="*/ 13181 w 1403831"/>
            <a:gd name="connsiteY0" fmla="*/ 2647950 h 2647950"/>
            <a:gd name="connsiteX1" fmla="*/ 3656 w 1403831"/>
            <a:gd name="connsiteY1" fmla="*/ 1409700 h 2647950"/>
            <a:gd name="connsiteX2" fmla="*/ 79856 w 1403831"/>
            <a:gd name="connsiteY2" fmla="*/ 1047750 h 2647950"/>
            <a:gd name="connsiteX3" fmla="*/ 251306 w 1403831"/>
            <a:gd name="connsiteY3" fmla="*/ 762000 h 2647950"/>
            <a:gd name="connsiteX4" fmla="*/ 651356 w 1403831"/>
            <a:gd name="connsiteY4" fmla="*/ 438150 h 2647950"/>
            <a:gd name="connsiteX5" fmla="*/ 784706 w 1403831"/>
            <a:gd name="connsiteY5" fmla="*/ 361950 h 2647950"/>
            <a:gd name="connsiteX6" fmla="*/ 784706 w 1403831"/>
            <a:gd name="connsiteY6" fmla="*/ 361950 h 2647950"/>
            <a:gd name="connsiteX7" fmla="*/ 860906 w 1403831"/>
            <a:gd name="connsiteY7" fmla="*/ 361950 h 2647950"/>
            <a:gd name="connsiteX8" fmla="*/ 851381 w 1403831"/>
            <a:gd name="connsiteY8" fmla="*/ 457200 h 2647950"/>
            <a:gd name="connsiteX9" fmla="*/ 641831 w 1403831"/>
            <a:gd name="connsiteY9" fmla="*/ 581025 h 2647950"/>
            <a:gd name="connsiteX10" fmla="*/ 384656 w 1403831"/>
            <a:gd name="connsiteY10" fmla="*/ 828675 h 2647950"/>
            <a:gd name="connsiteX11" fmla="*/ 298931 w 1403831"/>
            <a:gd name="connsiteY11" fmla="*/ 990600 h 2647950"/>
            <a:gd name="connsiteX12" fmla="*/ 232256 w 1403831"/>
            <a:gd name="connsiteY12" fmla="*/ 1114425 h 2647950"/>
            <a:gd name="connsiteX13" fmla="*/ 156056 w 1403831"/>
            <a:gd name="connsiteY13" fmla="*/ 1409700 h 2647950"/>
            <a:gd name="connsiteX14" fmla="*/ 175106 w 1403831"/>
            <a:gd name="connsiteY14" fmla="*/ 2352675 h 2647950"/>
            <a:gd name="connsiteX15" fmla="*/ 1118081 w 1403831"/>
            <a:gd name="connsiteY15" fmla="*/ 2352675 h 2647950"/>
            <a:gd name="connsiteX16" fmla="*/ 1099031 w 1403831"/>
            <a:gd name="connsiteY16" fmla="*/ 485775 h 2647950"/>
            <a:gd name="connsiteX17" fmla="*/ 1175231 w 1403831"/>
            <a:gd name="connsiteY17" fmla="*/ 247650 h 2647950"/>
            <a:gd name="connsiteX18" fmla="*/ 1403831 w 1403831"/>
            <a:gd name="connsiteY18" fmla="*/ 0 h 2647950"/>
            <a:gd name="connsiteX0" fmla="*/ 13181 w 1403831"/>
            <a:gd name="connsiteY0" fmla="*/ 2647950 h 2647950"/>
            <a:gd name="connsiteX1" fmla="*/ 3656 w 1403831"/>
            <a:gd name="connsiteY1" fmla="*/ 1409700 h 2647950"/>
            <a:gd name="connsiteX2" fmla="*/ 79856 w 1403831"/>
            <a:gd name="connsiteY2" fmla="*/ 1047750 h 2647950"/>
            <a:gd name="connsiteX3" fmla="*/ 251306 w 1403831"/>
            <a:gd name="connsiteY3" fmla="*/ 762000 h 2647950"/>
            <a:gd name="connsiteX4" fmla="*/ 651356 w 1403831"/>
            <a:gd name="connsiteY4" fmla="*/ 438150 h 2647950"/>
            <a:gd name="connsiteX5" fmla="*/ 784706 w 1403831"/>
            <a:gd name="connsiteY5" fmla="*/ 361950 h 2647950"/>
            <a:gd name="connsiteX6" fmla="*/ 784706 w 1403831"/>
            <a:gd name="connsiteY6" fmla="*/ 361950 h 2647950"/>
            <a:gd name="connsiteX7" fmla="*/ 860906 w 1403831"/>
            <a:gd name="connsiteY7" fmla="*/ 361950 h 2647950"/>
            <a:gd name="connsiteX8" fmla="*/ 851381 w 1403831"/>
            <a:gd name="connsiteY8" fmla="*/ 457200 h 2647950"/>
            <a:gd name="connsiteX9" fmla="*/ 641831 w 1403831"/>
            <a:gd name="connsiteY9" fmla="*/ 581025 h 2647950"/>
            <a:gd name="connsiteX10" fmla="*/ 384656 w 1403831"/>
            <a:gd name="connsiteY10" fmla="*/ 828675 h 2647950"/>
            <a:gd name="connsiteX11" fmla="*/ 232256 w 1403831"/>
            <a:gd name="connsiteY11" fmla="*/ 1114425 h 2647950"/>
            <a:gd name="connsiteX12" fmla="*/ 156056 w 1403831"/>
            <a:gd name="connsiteY12" fmla="*/ 1409700 h 2647950"/>
            <a:gd name="connsiteX13" fmla="*/ 175106 w 1403831"/>
            <a:gd name="connsiteY13" fmla="*/ 2352675 h 2647950"/>
            <a:gd name="connsiteX14" fmla="*/ 1118081 w 1403831"/>
            <a:gd name="connsiteY14" fmla="*/ 2352675 h 2647950"/>
            <a:gd name="connsiteX15" fmla="*/ 1099031 w 1403831"/>
            <a:gd name="connsiteY15" fmla="*/ 485775 h 2647950"/>
            <a:gd name="connsiteX16" fmla="*/ 1175231 w 1403831"/>
            <a:gd name="connsiteY16" fmla="*/ 247650 h 2647950"/>
            <a:gd name="connsiteX17" fmla="*/ 1403831 w 1403831"/>
            <a:gd name="connsiteY17" fmla="*/ 0 h 2647950"/>
            <a:gd name="connsiteX0" fmla="*/ 13181 w 1403831"/>
            <a:gd name="connsiteY0" fmla="*/ 2647950 h 2647950"/>
            <a:gd name="connsiteX1" fmla="*/ 3656 w 1403831"/>
            <a:gd name="connsiteY1" fmla="*/ 1409700 h 2647950"/>
            <a:gd name="connsiteX2" fmla="*/ 79856 w 1403831"/>
            <a:gd name="connsiteY2" fmla="*/ 1047750 h 2647950"/>
            <a:gd name="connsiteX3" fmla="*/ 251306 w 1403831"/>
            <a:gd name="connsiteY3" fmla="*/ 762000 h 2647950"/>
            <a:gd name="connsiteX4" fmla="*/ 651356 w 1403831"/>
            <a:gd name="connsiteY4" fmla="*/ 438150 h 2647950"/>
            <a:gd name="connsiteX5" fmla="*/ 784706 w 1403831"/>
            <a:gd name="connsiteY5" fmla="*/ 361950 h 2647950"/>
            <a:gd name="connsiteX6" fmla="*/ 784706 w 1403831"/>
            <a:gd name="connsiteY6" fmla="*/ 361950 h 2647950"/>
            <a:gd name="connsiteX7" fmla="*/ 860906 w 1403831"/>
            <a:gd name="connsiteY7" fmla="*/ 361950 h 2647950"/>
            <a:gd name="connsiteX8" fmla="*/ 851381 w 1403831"/>
            <a:gd name="connsiteY8" fmla="*/ 457200 h 2647950"/>
            <a:gd name="connsiteX9" fmla="*/ 641831 w 1403831"/>
            <a:gd name="connsiteY9" fmla="*/ 581025 h 2647950"/>
            <a:gd name="connsiteX10" fmla="*/ 384656 w 1403831"/>
            <a:gd name="connsiteY10" fmla="*/ 828675 h 2647950"/>
            <a:gd name="connsiteX11" fmla="*/ 232256 w 1403831"/>
            <a:gd name="connsiteY11" fmla="*/ 1114425 h 2647950"/>
            <a:gd name="connsiteX12" fmla="*/ 156056 w 1403831"/>
            <a:gd name="connsiteY12" fmla="*/ 1409700 h 2647950"/>
            <a:gd name="connsiteX13" fmla="*/ 175106 w 1403831"/>
            <a:gd name="connsiteY13" fmla="*/ 2352675 h 2647950"/>
            <a:gd name="connsiteX14" fmla="*/ 1118081 w 1403831"/>
            <a:gd name="connsiteY14" fmla="*/ 2352675 h 2647950"/>
            <a:gd name="connsiteX15" fmla="*/ 1099031 w 1403831"/>
            <a:gd name="connsiteY15" fmla="*/ 485775 h 2647950"/>
            <a:gd name="connsiteX16" fmla="*/ 1175231 w 1403831"/>
            <a:gd name="connsiteY16" fmla="*/ 247650 h 2647950"/>
            <a:gd name="connsiteX17" fmla="*/ 1403831 w 1403831"/>
            <a:gd name="connsiteY17" fmla="*/ 0 h 2647950"/>
            <a:gd name="connsiteX0" fmla="*/ 13181 w 1403831"/>
            <a:gd name="connsiteY0" fmla="*/ 2647950 h 2647950"/>
            <a:gd name="connsiteX1" fmla="*/ 3656 w 1403831"/>
            <a:gd name="connsiteY1" fmla="*/ 1409700 h 2647950"/>
            <a:gd name="connsiteX2" fmla="*/ 79856 w 1403831"/>
            <a:gd name="connsiteY2" fmla="*/ 1047750 h 2647950"/>
            <a:gd name="connsiteX3" fmla="*/ 251306 w 1403831"/>
            <a:gd name="connsiteY3" fmla="*/ 762000 h 2647950"/>
            <a:gd name="connsiteX4" fmla="*/ 651356 w 1403831"/>
            <a:gd name="connsiteY4" fmla="*/ 438150 h 2647950"/>
            <a:gd name="connsiteX5" fmla="*/ 784706 w 1403831"/>
            <a:gd name="connsiteY5" fmla="*/ 361950 h 2647950"/>
            <a:gd name="connsiteX6" fmla="*/ 784706 w 1403831"/>
            <a:gd name="connsiteY6" fmla="*/ 361950 h 2647950"/>
            <a:gd name="connsiteX7" fmla="*/ 860906 w 1403831"/>
            <a:gd name="connsiteY7" fmla="*/ 361950 h 2647950"/>
            <a:gd name="connsiteX8" fmla="*/ 851381 w 1403831"/>
            <a:gd name="connsiteY8" fmla="*/ 457200 h 2647950"/>
            <a:gd name="connsiteX9" fmla="*/ 641831 w 1403831"/>
            <a:gd name="connsiteY9" fmla="*/ 581025 h 2647950"/>
            <a:gd name="connsiteX10" fmla="*/ 384656 w 1403831"/>
            <a:gd name="connsiteY10" fmla="*/ 828675 h 2647950"/>
            <a:gd name="connsiteX11" fmla="*/ 232256 w 1403831"/>
            <a:gd name="connsiteY11" fmla="*/ 1114425 h 2647950"/>
            <a:gd name="connsiteX12" fmla="*/ 156056 w 1403831"/>
            <a:gd name="connsiteY12" fmla="*/ 1409700 h 2647950"/>
            <a:gd name="connsiteX13" fmla="*/ 175106 w 1403831"/>
            <a:gd name="connsiteY13" fmla="*/ 2352675 h 2647950"/>
            <a:gd name="connsiteX14" fmla="*/ 1118081 w 1403831"/>
            <a:gd name="connsiteY14" fmla="*/ 2352675 h 2647950"/>
            <a:gd name="connsiteX15" fmla="*/ 1099031 w 1403831"/>
            <a:gd name="connsiteY15" fmla="*/ 485775 h 2647950"/>
            <a:gd name="connsiteX16" fmla="*/ 1100797 w 1403831"/>
            <a:gd name="connsiteY16" fmla="*/ 330477 h 2647950"/>
            <a:gd name="connsiteX17" fmla="*/ 1403831 w 1403831"/>
            <a:gd name="connsiteY17" fmla="*/ 0 h 2647950"/>
            <a:gd name="connsiteX0" fmla="*/ 13181 w 1118081"/>
            <a:gd name="connsiteY0" fmla="*/ 2317473 h 2317473"/>
            <a:gd name="connsiteX1" fmla="*/ 3656 w 1118081"/>
            <a:gd name="connsiteY1" fmla="*/ 1079223 h 2317473"/>
            <a:gd name="connsiteX2" fmla="*/ 79856 w 1118081"/>
            <a:gd name="connsiteY2" fmla="*/ 717273 h 2317473"/>
            <a:gd name="connsiteX3" fmla="*/ 251306 w 1118081"/>
            <a:gd name="connsiteY3" fmla="*/ 431523 h 2317473"/>
            <a:gd name="connsiteX4" fmla="*/ 651356 w 1118081"/>
            <a:gd name="connsiteY4" fmla="*/ 107673 h 2317473"/>
            <a:gd name="connsiteX5" fmla="*/ 784706 w 1118081"/>
            <a:gd name="connsiteY5" fmla="*/ 31473 h 2317473"/>
            <a:gd name="connsiteX6" fmla="*/ 784706 w 1118081"/>
            <a:gd name="connsiteY6" fmla="*/ 31473 h 2317473"/>
            <a:gd name="connsiteX7" fmla="*/ 860906 w 1118081"/>
            <a:gd name="connsiteY7" fmla="*/ 31473 h 2317473"/>
            <a:gd name="connsiteX8" fmla="*/ 851381 w 1118081"/>
            <a:gd name="connsiteY8" fmla="*/ 126723 h 2317473"/>
            <a:gd name="connsiteX9" fmla="*/ 641831 w 1118081"/>
            <a:gd name="connsiteY9" fmla="*/ 250548 h 2317473"/>
            <a:gd name="connsiteX10" fmla="*/ 384656 w 1118081"/>
            <a:gd name="connsiteY10" fmla="*/ 498198 h 2317473"/>
            <a:gd name="connsiteX11" fmla="*/ 232256 w 1118081"/>
            <a:gd name="connsiteY11" fmla="*/ 783948 h 2317473"/>
            <a:gd name="connsiteX12" fmla="*/ 156056 w 1118081"/>
            <a:gd name="connsiteY12" fmla="*/ 1079223 h 2317473"/>
            <a:gd name="connsiteX13" fmla="*/ 175106 w 1118081"/>
            <a:gd name="connsiteY13" fmla="*/ 2022198 h 2317473"/>
            <a:gd name="connsiteX14" fmla="*/ 1118081 w 1118081"/>
            <a:gd name="connsiteY14" fmla="*/ 2022198 h 2317473"/>
            <a:gd name="connsiteX15" fmla="*/ 1099031 w 1118081"/>
            <a:gd name="connsiteY15" fmla="*/ 155298 h 2317473"/>
            <a:gd name="connsiteX16" fmla="*/ 1100797 w 1118081"/>
            <a:gd name="connsiteY16" fmla="*/ 0 h 2317473"/>
            <a:gd name="connsiteX0" fmla="*/ 13181 w 1118081"/>
            <a:gd name="connsiteY0" fmla="*/ 2317473 h 2317473"/>
            <a:gd name="connsiteX1" fmla="*/ 3656 w 1118081"/>
            <a:gd name="connsiteY1" fmla="*/ 1079223 h 2317473"/>
            <a:gd name="connsiteX2" fmla="*/ 79856 w 1118081"/>
            <a:gd name="connsiteY2" fmla="*/ 717273 h 2317473"/>
            <a:gd name="connsiteX3" fmla="*/ 251306 w 1118081"/>
            <a:gd name="connsiteY3" fmla="*/ 431523 h 2317473"/>
            <a:gd name="connsiteX4" fmla="*/ 651356 w 1118081"/>
            <a:gd name="connsiteY4" fmla="*/ 107673 h 2317473"/>
            <a:gd name="connsiteX5" fmla="*/ 784706 w 1118081"/>
            <a:gd name="connsiteY5" fmla="*/ 31473 h 2317473"/>
            <a:gd name="connsiteX6" fmla="*/ 860906 w 1118081"/>
            <a:gd name="connsiteY6" fmla="*/ 31473 h 2317473"/>
            <a:gd name="connsiteX7" fmla="*/ 851381 w 1118081"/>
            <a:gd name="connsiteY7" fmla="*/ 126723 h 2317473"/>
            <a:gd name="connsiteX8" fmla="*/ 641831 w 1118081"/>
            <a:gd name="connsiteY8" fmla="*/ 250548 h 2317473"/>
            <a:gd name="connsiteX9" fmla="*/ 384656 w 1118081"/>
            <a:gd name="connsiteY9" fmla="*/ 498198 h 2317473"/>
            <a:gd name="connsiteX10" fmla="*/ 232256 w 1118081"/>
            <a:gd name="connsiteY10" fmla="*/ 783948 h 2317473"/>
            <a:gd name="connsiteX11" fmla="*/ 156056 w 1118081"/>
            <a:gd name="connsiteY11" fmla="*/ 1079223 h 2317473"/>
            <a:gd name="connsiteX12" fmla="*/ 175106 w 1118081"/>
            <a:gd name="connsiteY12" fmla="*/ 2022198 h 2317473"/>
            <a:gd name="connsiteX13" fmla="*/ 1118081 w 1118081"/>
            <a:gd name="connsiteY13" fmla="*/ 2022198 h 2317473"/>
            <a:gd name="connsiteX14" fmla="*/ 1099031 w 1118081"/>
            <a:gd name="connsiteY14" fmla="*/ 155298 h 2317473"/>
            <a:gd name="connsiteX15" fmla="*/ 1100797 w 1118081"/>
            <a:gd name="connsiteY15" fmla="*/ 0 h 2317473"/>
            <a:gd name="connsiteX0" fmla="*/ 13181 w 1118081"/>
            <a:gd name="connsiteY0" fmla="*/ 2317473 h 2317473"/>
            <a:gd name="connsiteX1" fmla="*/ 3656 w 1118081"/>
            <a:gd name="connsiteY1" fmla="*/ 1079223 h 2317473"/>
            <a:gd name="connsiteX2" fmla="*/ 79856 w 1118081"/>
            <a:gd name="connsiteY2" fmla="*/ 717273 h 2317473"/>
            <a:gd name="connsiteX3" fmla="*/ 251306 w 1118081"/>
            <a:gd name="connsiteY3" fmla="*/ 431523 h 2317473"/>
            <a:gd name="connsiteX4" fmla="*/ 784706 w 1118081"/>
            <a:gd name="connsiteY4" fmla="*/ 31473 h 2317473"/>
            <a:gd name="connsiteX5" fmla="*/ 860906 w 1118081"/>
            <a:gd name="connsiteY5" fmla="*/ 31473 h 2317473"/>
            <a:gd name="connsiteX6" fmla="*/ 851381 w 1118081"/>
            <a:gd name="connsiteY6" fmla="*/ 126723 h 2317473"/>
            <a:gd name="connsiteX7" fmla="*/ 641831 w 1118081"/>
            <a:gd name="connsiteY7" fmla="*/ 250548 h 2317473"/>
            <a:gd name="connsiteX8" fmla="*/ 384656 w 1118081"/>
            <a:gd name="connsiteY8" fmla="*/ 498198 h 2317473"/>
            <a:gd name="connsiteX9" fmla="*/ 232256 w 1118081"/>
            <a:gd name="connsiteY9" fmla="*/ 783948 h 2317473"/>
            <a:gd name="connsiteX10" fmla="*/ 156056 w 1118081"/>
            <a:gd name="connsiteY10" fmla="*/ 1079223 h 2317473"/>
            <a:gd name="connsiteX11" fmla="*/ 175106 w 1118081"/>
            <a:gd name="connsiteY11" fmla="*/ 2022198 h 2317473"/>
            <a:gd name="connsiteX12" fmla="*/ 1118081 w 1118081"/>
            <a:gd name="connsiteY12" fmla="*/ 2022198 h 2317473"/>
            <a:gd name="connsiteX13" fmla="*/ 1099031 w 1118081"/>
            <a:gd name="connsiteY13" fmla="*/ 155298 h 2317473"/>
            <a:gd name="connsiteX14" fmla="*/ 1100797 w 1118081"/>
            <a:gd name="connsiteY14" fmla="*/ 0 h 2317473"/>
            <a:gd name="connsiteX0" fmla="*/ 16174 w 1121074"/>
            <a:gd name="connsiteY0" fmla="*/ 2336800 h 2336800"/>
            <a:gd name="connsiteX1" fmla="*/ 6649 w 1121074"/>
            <a:gd name="connsiteY1" fmla="*/ 1098550 h 2336800"/>
            <a:gd name="connsiteX2" fmla="*/ 82849 w 1121074"/>
            <a:gd name="connsiteY2" fmla="*/ 736600 h 2336800"/>
            <a:gd name="connsiteX3" fmla="*/ 787699 w 1121074"/>
            <a:gd name="connsiteY3" fmla="*/ 50800 h 2336800"/>
            <a:gd name="connsiteX4" fmla="*/ 863899 w 1121074"/>
            <a:gd name="connsiteY4" fmla="*/ 50800 h 2336800"/>
            <a:gd name="connsiteX5" fmla="*/ 854374 w 1121074"/>
            <a:gd name="connsiteY5" fmla="*/ 146050 h 2336800"/>
            <a:gd name="connsiteX6" fmla="*/ 644824 w 1121074"/>
            <a:gd name="connsiteY6" fmla="*/ 269875 h 2336800"/>
            <a:gd name="connsiteX7" fmla="*/ 387649 w 1121074"/>
            <a:gd name="connsiteY7" fmla="*/ 517525 h 2336800"/>
            <a:gd name="connsiteX8" fmla="*/ 235249 w 1121074"/>
            <a:gd name="connsiteY8" fmla="*/ 803275 h 2336800"/>
            <a:gd name="connsiteX9" fmla="*/ 159049 w 1121074"/>
            <a:gd name="connsiteY9" fmla="*/ 1098550 h 2336800"/>
            <a:gd name="connsiteX10" fmla="*/ 178099 w 1121074"/>
            <a:gd name="connsiteY10" fmla="*/ 2041525 h 2336800"/>
            <a:gd name="connsiteX11" fmla="*/ 1121074 w 1121074"/>
            <a:gd name="connsiteY11" fmla="*/ 2041525 h 2336800"/>
            <a:gd name="connsiteX12" fmla="*/ 1102024 w 1121074"/>
            <a:gd name="connsiteY12" fmla="*/ 174625 h 2336800"/>
            <a:gd name="connsiteX13" fmla="*/ 1103790 w 1121074"/>
            <a:gd name="connsiteY13" fmla="*/ 19327 h 2336800"/>
            <a:gd name="connsiteX0" fmla="*/ 64967 w 1169867"/>
            <a:gd name="connsiteY0" fmla="*/ 2363611 h 2363611"/>
            <a:gd name="connsiteX1" fmla="*/ 55442 w 1169867"/>
            <a:gd name="connsiteY1" fmla="*/ 1125361 h 2363611"/>
            <a:gd name="connsiteX2" fmla="*/ 836492 w 1169867"/>
            <a:gd name="connsiteY2" fmla="*/ 77611 h 2363611"/>
            <a:gd name="connsiteX3" fmla="*/ 912692 w 1169867"/>
            <a:gd name="connsiteY3" fmla="*/ 77611 h 2363611"/>
            <a:gd name="connsiteX4" fmla="*/ 903167 w 1169867"/>
            <a:gd name="connsiteY4" fmla="*/ 172861 h 2363611"/>
            <a:gd name="connsiteX5" fmla="*/ 693617 w 1169867"/>
            <a:gd name="connsiteY5" fmla="*/ 296686 h 2363611"/>
            <a:gd name="connsiteX6" fmla="*/ 436442 w 1169867"/>
            <a:gd name="connsiteY6" fmla="*/ 544336 h 2363611"/>
            <a:gd name="connsiteX7" fmla="*/ 284042 w 1169867"/>
            <a:gd name="connsiteY7" fmla="*/ 830086 h 2363611"/>
            <a:gd name="connsiteX8" fmla="*/ 207842 w 1169867"/>
            <a:gd name="connsiteY8" fmla="*/ 1125361 h 2363611"/>
            <a:gd name="connsiteX9" fmla="*/ 226892 w 1169867"/>
            <a:gd name="connsiteY9" fmla="*/ 2068336 h 2363611"/>
            <a:gd name="connsiteX10" fmla="*/ 1169867 w 1169867"/>
            <a:gd name="connsiteY10" fmla="*/ 2068336 h 2363611"/>
            <a:gd name="connsiteX11" fmla="*/ 1150817 w 1169867"/>
            <a:gd name="connsiteY11" fmla="*/ 201436 h 2363611"/>
            <a:gd name="connsiteX12" fmla="*/ 1152583 w 1169867"/>
            <a:gd name="connsiteY12" fmla="*/ 46138 h 2363611"/>
            <a:gd name="connsiteX0" fmla="*/ 64967 w 1169867"/>
            <a:gd name="connsiteY0" fmla="*/ 2363611 h 2363611"/>
            <a:gd name="connsiteX1" fmla="*/ 55442 w 1169867"/>
            <a:gd name="connsiteY1" fmla="*/ 1125361 h 2363611"/>
            <a:gd name="connsiteX2" fmla="*/ 836492 w 1169867"/>
            <a:gd name="connsiteY2" fmla="*/ 77611 h 2363611"/>
            <a:gd name="connsiteX3" fmla="*/ 912692 w 1169867"/>
            <a:gd name="connsiteY3" fmla="*/ 77611 h 2363611"/>
            <a:gd name="connsiteX4" fmla="*/ 903167 w 1169867"/>
            <a:gd name="connsiteY4" fmla="*/ 172861 h 2363611"/>
            <a:gd name="connsiteX5" fmla="*/ 693617 w 1169867"/>
            <a:gd name="connsiteY5" fmla="*/ 296686 h 2363611"/>
            <a:gd name="connsiteX6" fmla="*/ 436442 w 1169867"/>
            <a:gd name="connsiteY6" fmla="*/ 544336 h 2363611"/>
            <a:gd name="connsiteX7" fmla="*/ 284042 w 1169867"/>
            <a:gd name="connsiteY7" fmla="*/ 830086 h 2363611"/>
            <a:gd name="connsiteX8" fmla="*/ 207842 w 1169867"/>
            <a:gd name="connsiteY8" fmla="*/ 1125361 h 2363611"/>
            <a:gd name="connsiteX9" fmla="*/ 226892 w 1169867"/>
            <a:gd name="connsiteY9" fmla="*/ 2068336 h 2363611"/>
            <a:gd name="connsiteX10" fmla="*/ 1169867 w 1169867"/>
            <a:gd name="connsiteY10" fmla="*/ 2068336 h 2363611"/>
            <a:gd name="connsiteX11" fmla="*/ 1150817 w 1169867"/>
            <a:gd name="connsiteY11" fmla="*/ 201436 h 2363611"/>
            <a:gd name="connsiteX12" fmla="*/ 1152583 w 1169867"/>
            <a:gd name="connsiteY12" fmla="*/ 46138 h 2363611"/>
            <a:gd name="connsiteX0" fmla="*/ 0 w 1104900"/>
            <a:gd name="connsiteY0" fmla="*/ 2455333 h 2455333"/>
            <a:gd name="connsiteX1" fmla="*/ 771525 w 1104900"/>
            <a:gd name="connsiteY1" fmla="*/ 169333 h 2455333"/>
            <a:gd name="connsiteX2" fmla="*/ 847725 w 1104900"/>
            <a:gd name="connsiteY2" fmla="*/ 169333 h 2455333"/>
            <a:gd name="connsiteX3" fmla="*/ 838200 w 1104900"/>
            <a:gd name="connsiteY3" fmla="*/ 264583 h 2455333"/>
            <a:gd name="connsiteX4" fmla="*/ 628650 w 1104900"/>
            <a:gd name="connsiteY4" fmla="*/ 388408 h 2455333"/>
            <a:gd name="connsiteX5" fmla="*/ 371475 w 1104900"/>
            <a:gd name="connsiteY5" fmla="*/ 636058 h 2455333"/>
            <a:gd name="connsiteX6" fmla="*/ 219075 w 1104900"/>
            <a:gd name="connsiteY6" fmla="*/ 921808 h 2455333"/>
            <a:gd name="connsiteX7" fmla="*/ 142875 w 1104900"/>
            <a:gd name="connsiteY7" fmla="*/ 1217083 h 2455333"/>
            <a:gd name="connsiteX8" fmla="*/ 161925 w 1104900"/>
            <a:gd name="connsiteY8" fmla="*/ 2160058 h 2455333"/>
            <a:gd name="connsiteX9" fmla="*/ 1104900 w 1104900"/>
            <a:gd name="connsiteY9" fmla="*/ 2160058 h 2455333"/>
            <a:gd name="connsiteX10" fmla="*/ 1085850 w 1104900"/>
            <a:gd name="connsiteY10" fmla="*/ 293158 h 2455333"/>
            <a:gd name="connsiteX11" fmla="*/ 1087616 w 1104900"/>
            <a:gd name="connsiteY11" fmla="*/ 137860 h 2455333"/>
            <a:gd name="connsiteX0" fmla="*/ 628650 w 962025"/>
            <a:gd name="connsiteY0" fmla="*/ 169333 h 2160058"/>
            <a:gd name="connsiteX1" fmla="*/ 704850 w 962025"/>
            <a:gd name="connsiteY1" fmla="*/ 169333 h 2160058"/>
            <a:gd name="connsiteX2" fmla="*/ 695325 w 962025"/>
            <a:gd name="connsiteY2" fmla="*/ 264583 h 2160058"/>
            <a:gd name="connsiteX3" fmla="*/ 485775 w 962025"/>
            <a:gd name="connsiteY3" fmla="*/ 388408 h 2160058"/>
            <a:gd name="connsiteX4" fmla="*/ 228600 w 962025"/>
            <a:gd name="connsiteY4" fmla="*/ 636058 h 2160058"/>
            <a:gd name="connsiteX5" fmla="*/ 76200 w 962025"/>
            <a:gd name="connsiteY5" fmla="*/ 921808 h 2160058"/>
            <a:gd name="connsiteX6" fmla="*/ 0 w 962025"/>
            <a:gd name="connsiteY6" fmla="*/ 1217083 h 2160058"/>
            <a:gd name="connsiteX7" fmla="*/ 19050 w 962025"/>
            <a:gd name="connsiteY7" fmla="*/ 2160058 h 2160058"/>
            <a:gd name="connsiteX8" fmla="*/ 962025 w 962025"/>
            <a:gd name="connsiteY8" fmla="*/ 2160058 h 2160058"/>
            <a:gd name="connsiteX9" fmla="*/ 942975 w 962025"/>
            <a:gd name="connsiteY9" fmla="*/ 293158 h 2160058"/>
            <a:gd name="connsiteX10" fmla="*/ 944741 w 962025"/>
            <a:gd name="connsiteY10" fmla="*/ 137860 h 2160058"/>
            <a:gd name="connsiteX0" fmla="*/ 704850 w 962025"/>
            <a:gd name="connsiteY0" fmla="*/ 31473 h 2022198"/>
            <a:gd name="connsiteX1" fmla="*/ 695325 w 962025"/>
            <a:gd name="connsiteY1" fmla="*/ 126723 h 2022198"/>
            <a:gd name="connsiteX2" fmla="*/ 485775 w 962025"/>
            <a:gd name="connsiteY2" fmla="*/ 250548 h 2022198"/>
            <a:gd name="connsiteX3" fmla="*/ 228600 w 962025"/>
            <a:gd name="connsiteY3" fmla="*/ 498198 h 2022198"/>
            <a:gd name="connsiteX4" fmla="*/ 76200 w 962025"/>
            <a:gd name="connsiteY4" fmla="*/ 783948 h 2022198"/>
            <a:gd name="connsiteX5" fmla="*/ 0 w 962025"/>
            <a:gd name="connsiteY5" fmla="*/ 1079223 h 2022198"/>
            <a:gd name="connsiteX6" fmla="*/ 19050 w 962025"/>
            <a:gd name="connsiteY6" fmla="*/ 2022198 h 2022198"/>
            <a:gd name="connsiteX7" fmla="*/ 962025 w 962025"/>
            <a:gd name="connsiteY7" fmla="*/ 2022198 h 2022198"/>
            <a:gd name="connsiteX8" fmla="*/ 942975 w 962025"/>
            <a:gd name="connsiteY8" fmla="*/ 155298 h 2022198"/>
            <a:gd name="connsiteX9" fmla="*/ 944741 w 962025"/>
            <a:gd name="connsiteY9" fmla="*/ 0 h 2022198"/>
            <a:gd name="connsiteX0" fmla="*/ 704850 w 962025"/>
            <a:gd name="connsiteY0" fmla="*/ 31473 h 2022198"/>
            <a:gd name="connsiteX1" fmla="*/ 695325 w 962025"/>
            <a:gd name="connsiteY1" fmla="*/ 126723 h 2022198"/>
            <a:gd name="connsiteX2" fmla="*/ 485775 w 962025"/>
            <a:gd name="connsiteY2" fmla="*/ 250548 h 2022198"/>
            <a:gd name="connsiteX3" fmla="*/ 228600 w 962025"/>
            <a:gd name="connsiteY3" fmla="*/ 498198 h 2022198"/>
            <a:gd name="connsiteX4" fmla="*/ 76200 w 962025"/>
            <a:gd name="connsiteY4" fmla="*/ 783948 h 2022198"/>
            <a:gd name="connsiteX5" fmla="*/ 0 w 962025"/>
            <a:gd name="connsiteY5" fmla="*/ 1079223 h 2022198"/>
            <a:gd name="connsiteX6" fmla="*/ 19050 w 962025"/>
            <a:gd name="connsiteY6" fmla="*/ 2022198 h 2022198"/>
            <a:gd name="connsiteX7" fmla="*/ 962025 w 962025"/>
            <a:gd name="connsiteY7" fmla="*/ 2022198 h 2022198"/>
            <a:gd name="connsiteX8" fmla="*/ 942975 w 962025"/>
            <a:gd name="connsiteY8" fmla="*/ 155298 h 2022198"/>
            <a:gd name="connsiteX9" fmla="*/ 944741 w 962025"/>
            <a:gd name="connsiteY9" fmla="*/ 0 h 2022198"/>
            <a:gd name="connsiteX10" fmla="*/ 704850 w 962025"/>
            <a:gd name="connsiteY10" fmla="*/ 31473 h 2022198"/>
            <a:gd name="connsiteX0" fmla="*/ 704850 w 986092"/>
            <a:gd name="connsiteY0" fmla="*/ 31473 h 2022198"/>
            <a:gd name="connsiteX1" fmla="*/ 695325 w 986092"/>
            <a:gd name="connsiteY1" fmla="*/ 126723 h 2022198"/>
            <a:gd name="connsiteX2" fmla="*/ 485775 w 986092"/>
            <a:gd name="connsiteY2" fmla="*/ 250548 h 2022198"/>
            <a:gd name="connsiteX3" fmla="*/ 228600 w 986092"/>
            <a:gd name="connsiteY3" fmla="*/ 498198 h 2022198"/>
            <a:gd name="connsiteX4" fmla="*/ 76200 w 986092"/>
            <a:gd name="connsiteY4" fmla="*/ 783948 h 2022198"/>
            <a:gd name="connsiteX5" fmla="*/ 0 w 986092"/>
            <a:gd name="connsiteY5" fmla="*/ 1079223 h 2022198"/>
            <a:gd name="connsiteX6" fmla="*/ 19050 w 986092"/>
            <a:gd name="connsiteY6" fmla="*/ 2022198 h 2022198"/>
            <a:gd name="connsiteX7" fmla="*/ 962025 w 986092"/>
            <a:gd name="connsiteY7" fmla="*/ 2022198 h 2022198"/>
            <a:gd name="connsiteX8" fmla="*/ 942975 w 986092"/>
            <a:gd name="connsiteY8" fmla="*/ 155298 h 2022198"/>
            <a:gd name="connsiteX9" fmla="*/ 986092 w 986092"/>
            <a:gd name="connsiteY9" fmla="*/ 0 h 2022198"/>
            <a:gd name="connsiteX10" fmla="*/ 704850 w 986092"/>
            <a:gd name="connsiteY10" fmla="*/ 31473 h 202219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986092" h="2022198">
              <a:moveTo>
                <a:pt x="704850" y="31473"/>
              </a:moveTo>
              <a:lnTo>
                <a:pt x="695325" y="126723"/>
              </a:lnTo>
              <a:cubicBezTo>
                <a:pt x="658813" y="163235"/>
                <a:pt x="571500" y="167998"/>
                <a:pt x="485775" y="250548"/>
              </a:cubicBezTo>
              <a:cubicBezTo>
                <a:pt x="400050" y="333098"/>
                <a:pt x="296862" y="409298"/>
                <a:pt x="228600" y="498198"/>
              </a:cubicBezTo>
              <a:cubicBezTo>
                <a:pt x="160338" y="587098"/>
                <a:pt x="101600" y="685523"/>
                <a:pt x="76200" y="783948"/>
              </a:cubicBezTo>
              <a:lnTo>
                <a:pt x="0" y="1079223"/>
              </a:lnTo>
              <a:lnTo>
                <a:pt x="19050" y="2022198"/>
              </a:lnTo>
              <a:lnTo>
                <a:pt x="962025" y="2022198"/>
              </a:lnTo>
              <a:lnTo>
                <a:pt x="942975" y="155298"/>
              </a:lnTo>
              <a:cubicBezTo>
                <a:pt x="943564" y="103532"/>
                <a:pt x="985503" y="51766"/>
                <a:pt x="986092" y="0"/>
              </a:cubicBezTo>
              <a:lnTo>
                <a:pt x="704850" y="31473"/>
              </a:lnTo>
              <a:close/>
            </a:path>
          </a:pathLst>
        </a:custGeom>
        <a:solidFill>
          <a:schemeClr val="bg1">
            <a:lumMod val="95000"/>
          </a:schemeClr>
        </a:solidFill>
        <a:ln w="19050">
          <a:noFill/>
          <a:prstDash val="sysDot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962026</xdr:colOff>
      <xdr:row>14</xdr:row>
      <xdr:rowOff>190500</xdr:rowOff>
    </xdr:from>
    <xdr:to>
      <xdr:col>3</xdr:col>
      <xdr:colOff>1413934</xdr:colOff>
      <xdr:row>14</xdr:row>
      <xdr:rowOff>2847975</xdr:rowOff>
    </xdr:to>
    <xdr:sp macro="" textlink="">
      <xdr:nvSpPr>
        <xdr:cNvPr id="608" name="Полилиния 607"/>
        <xdr:cNvSpPr/>
      </xdr:nvSpPr>
      <xdr:spPr>
        <a:xfrm>
          <a:off x="2520662" y="23951045"/>
          <a:ext cx="451908" cy="2657475"/>
        </a:xfrm>
        <a:custGeom>
          <a:avLst/>
          <a:gdLst>
            <a:gd name="connsiteX0" fmla="*/ 447675 w 447675"/>
            <a:gd name="connsiteY0" fmla="*/ 2657475 h 2657475"/>
            <a:gd name="connsiteX1" fmla="*/ 447675 w 447675"/>
            <a:gd name="connsiteY1" fmla="*/ 1133475 h 2657475"/>
            <a:gd name="connsiteX2" fmla="*/ 390525 w 447675"/>
            <a:gd name="connsiteY2" fmla="*/ 752475 h 2657475"/>
            <a:gd name="connsiteX3" fmla="*/ 276225 w 447675"/>
            <a:gd name="connsiteY3" fmla="*/ 495300 h 2657475"/>
            <a:gd name="connsiteX4" fmla="*/ 0 w 447675"/>
            <a:gd name="connsiteY4" fmla="*/ 0 h 2657475"/>
            <a:gd name="connsiteX0" fmla="*/ 447675 w 447675"/>
            <a:gd name="connsiteY0" fmla="*/ 2657475 h 2657475"/>
            <a:gd name="connsiteX1" fmla="*/ 447675 w 447675"/>
            <a:gd name="connsiteY1" fmla="*/ 1133475 h 2657475"/>
            <a:gd name="connsiteX2" fmla="*/ 390525 w 447675"/>
            <a:gd name="connsiteY2" fmla="*/ 752475 h 2657475"/>
            <a:gd name="connsiteX3" fmla="*/ 276225 w 447675"/>
            <a:gd name="connsiteY3" fmla="*/ 495300 h 2657475"/>
            <a:gd name="connsiteX4" fmla="*/ 0 w 447675"/>
            <a:gd name="connsiteY4" fmla="*/ 0 h 2657475"/>
            <a:gd name="connsiteX0" fmla="*/ 447675 w 447675"/>
            <a:gd name="connsiteY0" fmla="*/ 2657475 h 2657475"/>
            <a:gd name="connsiteX1" fmla="*/ 447675 w 447675"/>
            <a:gd name="connsiteY1" fmla="*/ 1133475 h 2657475"/>
            <a:gd name="connsiteX2" fmla="*/ 390525 w 447675"/>
            <a:gd name="connsiteY2" fmla="*/ 752475 h 2657475"/>
            <a:gd name="connsiteX3" fmla="*/ 276225 w 447675"/>
            <a:gd name="connsiteY3" fmla="*/ 495300 h 2657475"/>
            <a:gd name="connsiteX4" fmla="*/ 0 w 447675"/>
            <a:gd name="connsiteY4" fmla="*/ 0 h 2657475"/>
            <a:gd name="connsiteX0" fmla="*/ 447675 w 451908"/>
            <a:gd name="connsiteY0" fmla="*/ 2657475 h 2657475"/>
            <a:gd name="connsiteX1" fmla="*/ 447675 w 451908"/>
            <a:gd name="connsiteY1" fmla="*/ 1133475 h 2657475"/>
            <a:gd name="connsiteX2" fmla="*/ 390525 w 451908"/>
            <a:gd name="connsiteY2" fmla="*/ 752475 h 2657475"/>
            <a:gd name="connsiteX3" fmla="*/ 276225 w 451908"/>
            <a:gd name="connsiteY3" fmla="*/ 495300 h 2657475"/>
            <a:gd name="connsiteX4" fmla="*/ 0 w 451908"/>
            <a:gd name="connsiteY4" fmla="*/ 0 h 26574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451908" h="2657475">
              <a:moveTo>
                <a:pt x="447675" y="2657475"/>
              </a:moveTo>
              <a:cubicBezTo>
                <a:pt x="447675" y="2149475"/>
                <a:pt x="457200" y="1450975"/>
                <a:pt x="447675" y="1133475"/>
              </a:cubicBezTo>
              <a:cubicBezTo>
                <a:pt x="438150" y="815975"/>
                <a:pt x="419100" y="858838"/>
                <a:pt x="390525" y="752475"/>
              </a:cubicBezTo>
              <a:cubicBezTo>
                <a:pt x="361950" y="646113"/>
                <a:pt x="341312" y="620712"/>
                <a:pt x="276225" y="495300"/>
              </a:cubicBezTo>
              <a:cubicBezTo>
                <a:pt x="211138" y="369888"/>
                <a:pt x="92075" y="165100"/>
                <a:pt x="0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1257300</xdr:colOff>
      <xdr:row>14</xdr:row>
      <xdr:rowOff>190500</xdr:rowOff>
    </xdr:from>
    <xdr:to>
      <xdr:col>4</xdr:col>
      <xdr:colOff>1009650</xdr:colOff>
      <xdr:row>14</xdr:row>
      <xdr:rowOff>571057</xdr:rowOff>
    </xdr:to>
    <xdr:sp macro="" textlink="">
      <xdr:nvSpPr>
        <xdr:cNvPr id="609" name="Полилиния 608"/>
        <xdr:cNvSpPr/>
      </xdr:nvSpPr>
      <xdr:spPr>
        <a:xfrm>
          <a:off x="2815936" y="23951045"/>
          <a:ext cx="1328305" cy="380557"/>
        </a:xfrm>
        <a:custGeom>
          <a:avLst/>
          <a:gdLst>
            <a:gd name="connsiteX0" fmla="*/ 0 w 1333500"/>
            <a:gd name="connsiteY0" fmla="*/ 9525 h 447675"/>
            <a:gd name="connsiteX1" fmla="*/ 238125 w 1333500"/>
            <a:gd name="connsiteY1" fmla="*/ 361950 h 447675"/>
            <a:gd name="connsiteX2" fmla="*/ 409575 w 1333500"/>
            <a:gd name="connsiteY2" fmla="*/ 447675 h 447675"/>
            <a:gd name="connsiteX3" fmla="*/ 666750 w 1333500"/>
            <a:gd name="connsiteY3" fmla="*/ 390525 h 447675"/>
            <a:gd name="connsiteX4" fmla="*/ 1009650 w 1333500"/>
            <a:gd name="connsiteY4" fmla="*/ 238125 h 447675"/>
            <a:gd name="connsiteX5" fmla="*/ 1333500 w 1333500"/>
            <a:gd name="connsiteY5" fmla="*/ 0 h 447675"/>
            <a:gd name="connsiteX0" fmla="*/ 0 w 1333500"/>
            <a:gd name="connsiteY0" fmla="*/ 9525 h 447675"/>
            <a:gd name="connsiteX1" fmla="*/ 238125 w 1333500"/>
            <a:gd name="connsiteY1" fmla="*/ 361950 h 447675"/>
            <a:gd name="connsiteX2" fmla="*/ 409575 w 1333500"/>
            <a:gd name="connsiteY2" fmla="*/ 447675 h 447675"/>
            <a:gd name="connsiteX3" fmla="*/ 666750 w 1333500"/>
            <a:gd name="connsiteY3" fmla="*/ 390525 h 447675"/>
            <a:gd name="connsiteX4" fmla="*/ 1009650 w 1333500"/>
            <a:gd name="connsiteY4" fmla="*/ 238125 h 447675"/>
            <a:gd name="connsiteX5" fmla="*/ 1333500 w 1333500"/>
            <a:gd name="connsiteY5" fmla="*/ 0 h 447675"/>
            <a:gd name="connsiteX0" fmla="*/ 0 w 1333500"/>
            <a:gd name="connsiteY0" fmla="*/ 9525 h 453097"/>
            <a:gd name="connsiteX1" fmla="*/ 238125 w 1333500"/>
            <a:gd name="connsiteY1" fmla="*/ 361950 h 453097"/>
            <a:gd name="connsiteX2" fmla="*/ 409575 w 1333500"/>
            <a:gd name="connsiteY2" fmla="*/ 447675 h 453097"/>
            <a:gd name="connsiteX3" fmla="*/ 666750 w 1333500"/>
            <a:gd name="connsiteY3" fmla="*/ 390525 h 453097"/>
            <a:gd name="connsiteX4" fmla="*/ 1009650 w 1333500"/>
            <a:gd name="connsiteY4" fmla="*/ 238125 h 453097"/>
            <a:gd name="connsiteX5" fmla="*/ 1333500 w 1333500"/>
            <a:gd name="connsiteY5" fmla="*/ 0 h 453097"/>
            <a:gd name="connsiteX0" fmla="*/ 0 w 1333500"/>
            <a:gd name="connsiteY0" fmla="*/ 9525 h 453097"/>
            <a:gd name="connsiteX1" fmla="*/ 238125 w 1333500"/>
            <a:gd name="connsiteY1" fmla="*/ 361950 h 453097"/>
            <a:gd name="connsiteX2" fmla="*/ 409575 w 1333500"/>
            <a:gd name="connsiteY2" fmla="*/ 447675 h 453097"/>
            <a:gd name="connsiteX3" fmla="*/ 666750 w 1333500"/>
            <a:gd name="connsiteY3" fmla="*/ 390525 h 453097"/>
            <a:gd name="connsiteX4" fmla="*/ 1009650 w 1333500"/>
            <a:gd name="connsiteY4" fmla="*/ 238125 h 453097"/>
            <a:gd name="connsiteX5" fmla="*/ 1333500 w 1333500"/>
            <a:gd name="connsiteY5" fmla="*/ 0 h 453097"/>
            <a:gd name="connsiteX0" fmla="*/ 0 w 1333500"/>
            <a:gd name="connsiteY0" fmla="*/ 9525 h 453097"/>
            <a:gd name="connsiteX1" fmla="*/ 238125 w 1333500"/>
            <a:gd name="connsiteY1" fmla="*/ 361950 h 453097"/>
            <a:gd name="connsiteX2" fmla="*/ 409575 w 1333500"/>
            <a:gd name="connsiteY2" fmla="*/ 447675 h 453097"/>
            <a:gd name="connsiteX3" fmla="*/ 666750 w 1333500"/>
            <a:gd name="connsiteY3" fmla="*/ 390525 h 453097"/>
            <a:gd name="connsiteX4" fmla="*/ 1009650 w 1333500"/>
            <a:gd name="connsiteY4" fmla="*/ 238125 h 453097"/>
            <a:gd name="connsiteX5" fmla="*/ 1333500 w 1333500"/>
            <a:gd name="connsiteY5" fmla="*/ 0 h 453097"/>
            <a:gd name="connsiteX0" fmla="*/ 0 w 1333500"/>
            <a:gd name="connsiteY0" fmla="*/ 9525 h 450149"/>
            <a:gd name="connsiteX1" fmla="*/ 188461 w 1333500"/>
            <a:gd name="connsiteY1" fmla="*/ 303972 h 450149"/>
            <a:gd name="connsiteX2" fmla="*/ 409575 w 1333500"/>
            <a:gd name="connsiteY2" fmla="*/ 447675 h 450149"/>
            <a:gd name="connsiteX3" fmla="*/ 666750 w 1333500"/>
            <a:gd name="connsiteY3" fmla="*/ 390525 h 450149"/>
            <a:gd name="connsiteX4" fmla="*/ 1009650 w 1333500"/>
            <a:gd name="connsiteY4" fmla="*/ 238125 h 450149"/>
            <a:gd name="connsiteX5" fmla="*/ 1333500 w 1333500"/>
            <a:gd name="connsiteY5" fmla="*/ 0 h 450149"/>
            <a:gd name="connsiteX0" fmla="*/ 0 w 1333500"/>
            <a:gd name="connsiteY0" fmla="*/ 9525 h 451966"/>
            <a:gd name="connsiteX1" fmla="*/ 188461 w 1333500"/>
            <a:gd name="connsiteY1" fmla="*/ 303972 h 451966"/>
            <a:gd name="connsiteX2" fmla="*/ 409575 w 1333500"/>
            <a:gd name="connsiteY2" fmla="*/ 447675 h 451966"/>
            <a:gd name="connsiteX3" fmla="*/ 666750 w 1333500"/>
            <a:gd name="connsiteY3" fmla="*/ 407090 h 451966"/>
            <a:gd name="connsiteX4" fmla="*/ 1009650 w 1333500"/>
            <a:gd name="connsiteY4" fmla="*/ 238125 h 451966"/>
            <a:gd name="connsiteX5" fmla="*/ 1333500 w 1333500"/>
            <a:gd name="connsiteY5" fmla="*/ 0 h 451966"/>
            <a:gd name="connsiteX0" fmla="*/ 0 w 1333500"/>
            <a:gd name="connsiteY0" fmla="*/ 9525 h 420460"/>
            <a:gd name="connsiteX1" fmla="*/ 188461 w 1333500"/>
            <a:gd name="connsiteY1" fmla="*/ 303972 h 420460"/>
            <a:gd name="connsiteX2" fmla="*/ 409575 w 1333500"/>
            <a:gd name="connsiteY2" fmla="*/ 397979 h 420460"/>
            <a:gd name="connsiteX3" fmla="*/ 666750 w 1333500"/>
            <a:gd name="connsiteY3" fmla="*/ 407090 h 420460"/>
            <a:gd name="connsiteX4" fmla="*/ 1009650 w 1333500"/>
            <a:gd name="connsiteY4" fmla="*/ 238125 h 420460"/>
            <a:gd name="connsiteX5" fmla="*/ 1333500 w 1333500"/>
            <a:gd name="connsiteY5" fmla="*/ 0 h 420460"/>
            <a:gd name="connsiteX0" fmla="*/ 0 w 1333500"/>
            <a:gd name="connsiteY0" fmla="*/ 9525 h 423152"/>
            <a:gd name="connsiteX1" fmla="*/ 196738 w 1333500"/>
            <a:gd name="connsiteY1" fmla="*/ 245994 h 423152"/>
            <a:gd name="connsiteX2" fmla="*/ 409575 w 1333500"/>
            <a:gd name="connsiteY2" fmla="*/ 397979 h 423152"/>
            <a:gd name="connsiteX3" fmla="*/ 666750 w 1333500"/>
            <a:gd name="connsiteY3" fmla="*/ 407090 h 423152"/>
            <a:gd name="connsiteX4" fmla="*/ 1009650 w 1333500"/>
            <a:gd name="connsiteY4" fmla="*/ 238125 h 423152"/>
            <a:gd name="connsiteX5" fmla="*/ 1333500 w 1333500"/>
            <a:gd name="connsiteY5" fmla="*/ 0 h 423152"/>
            <a:gd name="connsiteX0" fmla="*/ 0 w 1333500"/>
            <a:gd name="connsiteY0" fmla="*/ 9525 h 402177"/>
            <a:gd name="connsiteX1" fmla="*/ 196738 w 1333500"/>
            <a:gd name="connsiteY1" fmla="*/ 245994 h 402177"/>
            <a:gd name="connsiteX2" fmla="*/ 409575 w 1333500"/>
            <a:gd name="connsiteY2" fmla="*/ 397979 h 402177"/>
            <a:gd name="connsiteX3" fmla="*/ 675028 w 1333500"/>
            <a:gd name="connsiteY3" fmla="*/ 349111 h 402177"/>
            <a:gd name="connsiteX4" fmla="*/ 1009650 w 1333500"/>
            <a:gd name="connsiteY4" fmla="*/ 238125 h 402177"/>
            <a:gd name="connsiteX5" fmla="*/ 1333500 w 1333500"/>
            <a:gd name="connsiteY5" fmla="*/ 0 h 402177"/>
            <a:gd name="connsiteX0" fmla="*/ 0 w 1333500"/>
            <a:gd name="connsiteY0" fmla="*/ 9525 h 379834"/>
            <a:gd name="connsiteX1" fmla="*/ 196738 w 1333500"/>
            <a:gd name="connsiteY1" fmla="*/ 245994 h 379834"/>
            <a:gd name="connsiteX2" fmla="*/ 376465 w 1333500"/>
            <a:gd name="connsiteY2" fmla="*/ 373131 h 379834"/>
            <a:gd name="connsiteX3" fmla="*/ 675028 w 1333500"/>
            <a:gd name="connsiteY3" fmla="*/ 349111 h 379834"/>
            <a:gd name="connsiteX4" fmla="*/ 1009650 w 1333500"/>
            <a:gd name="connsiteY4" fmla="*/ 238125 h 379834"/>
            <a:gd name="connsiteX5" fmla="*/ 1333500 w 1333500"/>
            <a:gd name="connsiteY5" fmla="*/ 0 h 379834"/>
            <a:gd name="connsiteX0" fmla="*/ 0 w 1333500"/>
            <a:gd name="connsiteY0" fmla="*/ 9525 h 380557"/>
            <a:gd name="connsiteX1" fmla="*/ 196738 w 1333500"/>
            <a:gd name="connsiteY1" fmla="*/ 245994 h 380557"/>
            <a:gd name="connsiteX2" fmla="*/ 376465 w 1333500"/>
            <a:gd name="connsiteY2" fmla="*/ 373131 h 380557"/>
            <a:gd name="connsiteX3" fmla="*/ 675028 w 1333500"/>
            <a:gd name="connsiteY3" fmla="*/ 349111 h 380557"/>
            <a:gd name="connsiteX4" fmla="*/ 968263 w 1333500"/>
            <a:gd name="connsiteY4" fmla="*/ 213277 h 380557"/>
            <a:gd name="connsiteX5" fmla="*/ 1333500 w 1333500"/>
            <a:gd name="connsiteY5" fmla="*/ 0 h 38055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333500" h="380557">
              <a:moveTo>
                <a:pt x="0" y="9525"/>
              </a:moveTo>
              <a:cubicBezTo>
                <a:pt x="79375" y="127000"/>
                <a:pt x="133994" y="185393"/>
                <a:pt x="196738" y="245994"/>
              </a:cubicBezTo>
              <a:cubicBezTo>
                <a:pt x="259482" y="306595"/>
                <a:pt x="296750" y="355945"/>
                <a:pt x="376465" y="373131"/>
              </a:cubicBezTo>
              <a:cubicBezTo>
                <a:pt x="456180" y="390317"/>
                <a:pt x="576395" y="375753"/>
                <a:pt x="675028" y="349111"/>
              </a:cubicBezTo>
              <a:cubicBezTo>
                <a:pt x="773661" y="322469"/>
                <a:pt x="858518" y="271462"/>
                <a:pt x="968263" y="213277"/>
              </a:cubicBezTo>
              <a:cubicBezTo>
                <a:pt x="1078008" y="155092"/>
                <a:pt x="1225550" y="79375"/>
                <a:pt x="1333500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72538</xdr:colOff>
      <xdr:row>14</xdr:row>
      <xdr:rowOff>200025</xdr:rowOff>
    </xdr:from>
    <xdr:to>
      <xdr:col>5</xdr:col>
      <xdr:colOff>95249</xdr:colOff>
      <xdr:row>14</xdr:row>
      <xdr:rowOff>2847975</xdr:rowOff>
    </xdr:to>
    <xdr:sp macro="" textlink="">
      <xdr:nvSpPr>
        <xdr:cNvPr id="610" name="Полилиния 609"/>
        <xdr:cNvSpPr/>
      </xdr:nvSpPr>
      <xdr:spPr>
        <a:xfrm>
          <a:off x="3207129" y="23960570"/>
          <a:ext cx="1408165" cy="2647950"/>
        </a:xfrm>
        <a:custGeom>
          <a:avLst/>
          <a:gdLst>
            <a:gd name="connsiteX0" fmla="*/ 9525 w 1400175"/>
            <a:gd name="connsiteY0" fmla="*/ 2647950 h 2647950"/>
            <a:gd name="connsiteX1" fmla="*/ 0 w 1400175"/>
            <a:gd name="connsiteY1" fmla="*/ 1409700 h 2647950"/>
            <a:gd name="connsiteX2" fmla="*/ 76200 w 1400175"/>
            <a:gd name="connsiteY2" fmla="*/ 1047750 h 2647950"/>
            <a:gd name="connsiteX3" fmla="*/ 247650 w 1400175"/>
            <a:gd name="connsiteY3" fmla="*/ 762000 h 2647950"/>
            <a:gd name="connsiteX4" fmla="*/ 647700 w 1400175"/>
            <a:gd name="connsiteY4" fmla="*/ 438150 h 2647950"/>
            <a:gd name="connsiteX5" fmla="*/ 781050 w 1400175"/>
            <a:gd name="connsiteY5" fmla="*/ 361950 h 2647950"/>
            <a:gd name="connsiteX6" fmla="*/ 781050 w 1400175"/>
            <a:gd name="connsiteY6" fmla="*/ 361950 h 2647950"/>
            <a:gd name="connsiteX7" fmla="*/ 857250 w 1400175"/>
            <a:gd name="connsiteY7" fmla="*/ 361950 h 2647950"/>
            <a:gd name="connsiteX8" fmla="*/ 847725 w 1400175"/>
            <a:gd name="connsiteY8" fmla="*/ 457200 h 2647950"/>
            <a:gd name="connsiteX9" fmla="*/ 638175 w 1400175"/>
            <a:gd name="connsiteY9" fmla="*/ 581025 h 2647950"/>
            <a:gd name="connsiteX10" fmla="*/ 381000 w 1400175"/>
            <a:gd name="connsiteY10" fmla="*/ 828675 h 2647950"/>
            <a:gd name="connsiteX11" fmla="*/ 295275 w 1400175"/>
            <a:gd name="connsiteY11" fmla="*/ 990600 h 2647950"/>
            <a:gd name="connsiteX12" fmla="*/ 228600 w 1400175"/>
            <a:gd name="connsiteY12" fmla="*/ 1114425 h 2647950"/>
            <a:gd name="connsiteX13" fmla="*/ 152400 w 1400175"/>
            <a:gd name="connsiteY13" fmla="*/ 1409700 h 2647950"/>
            <a:gd name="connsiteX14" fmla="*/ 171450 w 1400175"/>
            <a:gd name="connsiteY14" fmla="*/ 2352675 h 2647950"/>
            <a:gd name="connsiteX15" fmla="*/ 1009650 w 1400175"/>
            <a:gd name="connsiteY15" fmla="*/ 2333625 h 2647950"/>
            <a:gd name="connsiteX16" fmla="*/ 1114425 w 1400175"/>
            <a:gd name="connsiteY16" fmla="*/ 2324100 h 2647950"/>
            <a:gd name="connsiteX17" fmla="*/ 1095375 w 1400175"/>
            <a:gd name="connsiteY17" fmla="*/ 485775 h 2647950"/>
            <a:gd name="connsiteX18" fmla="*/ 1171575 w 1400175"/>
            <a:gd name="connsiteY18" fmla="*/ 247650 h 2647950"/>
            <a:gd name="connsiteX19" fmla="*/ 1400175 w 1400175"/>
            <a:gd name="connsiteY19" fmla="*/ 0 h 2647950"/>
            <a:gd name="connsiteX0" fmla="*/ 9525 w 1400175"/>
            <a:gd name="connsiteY0" fmla="*/ 2647950 h 2647950"/>
            <a:gd name="connsiteX1" fmla="*/ 0 w 1400175"/>
            <a:gd name="connsiteY1" fmla="*/ 1409700 h 2647950"/>
            <a:gd name="connsiteX2" fmla="*/ 76200 w 1400175"/>
            <a:gd name="connsiteY2" fmla="*/ 1047750 h 2647950"/>
            <a:gd name="connsiteX3" fmla="*/ 247650 w 1400175"/>
            <a:gd name="connsiteY3" fmla="*/ 762000 h 2647950"/>
            <a:gd name="connsiteX4" fmla="*/ 647700 w 1400175"/>
            <a:gd name="connsiteY4" fmla="*/ 438150 h 2647950"/>
            <a:gd name="connsiteX5" fmla="*/ 781050 w 1400175"/>
            <a:gd name="connsiteY5" fmla="*/ 361950 h 2647950"/>
            <a:gd name="connsiteX6" fmla="*/ 781050 w 1400175"/>
            <a:gd name="connsiteY6" fmla="*/ 361950 h 2647950"/>
            <a:gd name="connsiteX7" fmla="*/ 857250 w 1400175"/>
            <a:gd name="connsiteY7" fmla="*/ 361950 h 2647950"/>
            <a:gd name="connsiteX8" fmla="*/ 847725 w 1400175"/>
            <a:gd name="connsiteY8" fmla="*/ 457200 h 2647950"/>
            <a:gd name="connsiteX9" fmla="*/ 638175 w 1400175"/>
            <a:gd name="connsiteY9" fmla="*/ 581025 h 2647950"/>
            <a:gd name="connsiteX10" fmla="*/ 381000 w 1400175"/>
            <a:gd name="connsiteY10" fmla="*/ 828675 h 2647950"/>
            <a:gd name="connsiteX11" fmla="*/ 295275 w 1400175"/>
            <a:gd name="connsiteY11" fmla="*/ 990600 h 2647950"/>
            <a:gd name="connsiteX12" fmla="*/ 228600 w 1400175"/>
            <a:gd name="connsiteY12" fmla="*/ 1114425 h 2647950"/>
            <a:gd name="connsiteX13" fmla="*/ 152400 w 1400175"/>
            <a:gd name="connsiteY13" fmla="*/ 1409700 h 2647950"/>
            <a:gd name="connsiteX14" fmla="*/ 171450 w 1400175"/>
            <a:gd name="connsiteY14" fmla="*/ 2352675 h 2647950"/>
            <a:gd name="connsiteX15" fmla="*/ 942975 w 1400175"/>
            <a:gd name="connsiteY15" fmla="*/ 2352675 h 2647950"/>
            <a:gd name="connsiteX16" fmla="*/ 1114425 w 1400175"/>
            <a:gd name="connsiteY16" fmla="*/ 2324100 h 2647950"/>
            <a:gd name="connsiteX17" fmla="*/ 1095375 w 1400175"/>
            <a:gd name="connsiteY17" fmla="*/ 485775 h 2647950"/>
            <a:gd name="connsiteX18" fmla="*/ 1171575 w 1400175"/>
            <a:gd name="connsiteY18" fmla="*/ 247650 h 2647950"/>
            <a:gd name="connsiteX19" fmla="*/ 1400175 w 1400175"/>
            <a:gd name="connsiteY19" fmla="*/ 0 h 2647950"/>
            <a:gd name="connsiteX0" fmla="*/ 9525 w 1400175"/>
            <a:gd name="connsiteY0" fmla="*/ 2647950 h 2647950"/>
            <a:gd name="connsiteX1" fmla="*/ 0 w 1400175"/>
            <a:gd name="connsiteY1" fmla="*/ 1409700 h 2647950"/>
            <a:gd name="connsiteX2" fmla="*/ 76200 w 1400175"/>
            <a:gd name="connsiteY2" fmla="*/ 1047750 h 2647950"/>
            <a:gd name="connsiteX3" fmla="*/ 247650 w 1400175"/>
            <a:gd name="connsiteY3" fmla="*/ 762000 h 2647950"/>
            <a:gd name="connsiteX4" fmla="*/ 647700 w 1400175"/>
            <a:gd name="connsiteY4" fmla="*/ 438150 h 2647950"/>
            <a:gd name="connsiteX5" fmla="*/ 781050 w 1400175"/>
            <a:gd name="connsiteY5" fmla="*/ 361950 h 2647950"/>
            <a:gd name="connsiteX6" fmla="*/ 781050 w 1400175"/>
            <a:gd name="connsiteY6" fmla="*/ 361950 h 2647950"/>
            <a:gd name="connsiteX7" fmla="*/ 857250 w 1400175"/>
            <a:gd name="connsiteY7" fmla="*/ 361950 h 2647950"/>
            <a:gd name="connsiteX8" fmla="*/ 847725 w 1400175"/>
            <a:gd name="connsiteY8" fmla="*/ 457200 h 2647950"/>
            <a:gd name="connsiteX9" fmla="*/ 638175 w 1400175"/>
            <a:gd name="connsiteY9" fmla="*/ 581025 h 2647950"/>
            <a:gd name="connsiteX10" fmla="*/ 381000 w 1400175"/>
            <a:gd name="connsiteY10" fmla="*/ 828675 h 2647950"/>
            <a:gd name="connsiteX11" fmla="*/ 295275 w 1400175"/>
            <a:gd name="connsiteY11" fmla="*/ 990600 h 2647950"/>
            <a:gd name="connsiteX12" fmla="*/ 228600 w 1400175"/>
            <a:gd name="connsiteY12" fmla="*/ 1114425 h 2647950"/>
            <a:gd name="connsiteX13" fmla="*/ 152400 w 1400175"/>
            <a:gd name="connsiteY13" fmla="*/ 1409700 h 2647950"/>
            <a:gd name="connsiteX14" fmla="*/ 171450 w 1400175"/>
            <a:gd name="connsiteY14" fmla="*/ 2352675 h 2647950"/>
            <a:gd name="connsiteX15" fmla="*/ 1114425 w 1400175"/>
            <a:gd name="connsiteY15" fmla="*/ 2324100 h 2647950"/>
            <a:gd name="connsiteX16" fmla="*/ 1095375 w 1400175"/>
            <a:gd name="connsiteY16" fmla="*/ 485775 h 2647950"/>
            <a:gd name="connsiteX17" fmla="*/ 1171575 w 1400175"/>
            <a:gd name="connsiteY17" fmla="*/ 247650 h 2647950"/>
            <a:gd name="connsiteX18" fmla="*/ 1400175 w 1400175"/>
            <a:gd name="connsiteY18" fmla="*/ 0 h 2647950"/>
            <a:gd name="connsiteX0" fmla="*/ 9525 w 1400175"/>
            <a:gd name="connsiteY0" fmla="*/ 2647950 h 2647950"/>
            <a:gd name="connsiteX1" fmla="*/ 0 w 1400175"/>
            <a:gd name="connsiteY1" fmla="*/ 1409700 h 2647950"/>
            <a:gd name="connsiteX2" fmla="*/ 76200 w 1400175"/>
            <a:gd name="connsiteY2" fmla="*/ 1047750 h 2647950"/>
            <a:gd name="connsiteX3" fmla="*/ 247650 w 1400175"/>
            <a:gd name="connsiteY3" fmla="*/ 762000 h 2647950"/>
            <a:gd name="connsiteX4" fmla="*/ 647700 w 1400175"/>
            <a:gd name="connsiteY4" fmla="*/ 438150 h 2647950"/>
            <a:gd name="connsiteX5" fmla="*/ 781050 w 1400175"/>
            <a:gd name="connsiteY5" fmla="*/ 361950 h 2647950"/>
            <a:gd name="connsiteX6" fmla="*/ 781050 w 1400175"/>
            <a:gd name="connsiteY6" fmla="*/ 361950 h 2647950"/>
            <a:gd name="connsiteX7" fmla="*/ 857250 w 1400175"/>
            <a:gd name="connsiteY7" fmla="*/ 361950 h 2647950"/>
            <a:gd name="connsiteX8" fmla="*/ 847725 w 1400175"/>
            <a:gd name="connsiteY8" fmla="*/ 457200 h 2647950"/>
            <a:gd name="connsiteX9" fmla="*/ 638175 w 1400175"/>
            <a:gd name="connsiteY9" fmla="*/ 581025 h 2647950"/>
            <a:gd name="connsiteX10" fmla="*/ 381000 w 1400175"/>
            <a:gd name="connsiteY10" fmla="*/ 828675 h 2647950"/>
            <a:gd name="connsiteX11" fmla="*/ 295275 w 1400175"/>
            <a:gd name="connsiteY11" fmla="*/ 990600 h 2647950"/>
            <a:gd name="connsiteX12" fmla="*/ 228600 w 1400175"/>
            <a:gd name="connsiteY12" fmla="*/ 1114425 h 2647950"/>
            <a:gd name="connsiteX13" fmla="*/ 152400 w 1400175"/>
            <a:gd name="connsiteY13" fmla="*/ 1409700 h 2647950"/>
            <a:gd name="connsiteX14" fmla="*/ 171450 w 1400175"/>
            <a:gd name="connsiteY14" fmla="*/ 2352675 h 2647950"/>
            <a:gd name="connsiteX15" fmla="*/ 1123950 w 1400175"/>
            <a:gd name="connsiteY15" fmla="*/ 2333625 h 2647950"/>
            <a:gd name="connsiteX16" fmla="*/ 1095375 w 1400175"/>
            <a:gd name="connsiteY16" fmla="*/ 485775 h 2647950"/>
            <a:gd name="connsiteX17" fmla="*/ 1171575 w 1400175"/>
            <a:gd name="connsiteY17" fmla="*/ 247650 h 2647950"/>
            <a:gd name="connsiteX18" fmla="*/ 1400175 w 1400175"/>
            <a:gd name="connsiteY18" fmla="*/ 0 h 2647950"/>
            <a:gd name="connsiteX0" fmla="*/ 9525 w 1400175"/>
            <a:gd name="connsiteY0" fmla="*/ 2647950 h 2647950"/>
            <a:gd name="connsiteX1" fmla="*/ 0 w 1400175"/>
            <a:gd name="connsiteY1" fmla="*/ 1409700 h 2647950"/>
            <a:gd name="connsiteX2" fmla="*/ 76200 w 1400175"/>
            <a:gd name="connsiteY2" fmla="*/ 1047750 h 2647950"/>
            <a:gd name="connsiteX3" fmla="*/ 247650 w 1400175"/>
            <a:gd name="connsiteY3" fmla="*/ 762000 h 2647950"/>
            <a:gd name="connsiteX4" fmla="*/ 647700 w 1400175"/>
            <a:gd name="connsiteY4" fmla="*/ 438150 h 2647950"/>
            <a:gd name="connsiteX5" fmla="*/ 781050 w 1400175"/>
            <a:gd name="connsiteY5" fmla="*/ 361950 h 2647950"/>
            <a:gd name="connsiteX6" fmla="*/ 781050 w 1400175"/>
            <a:gd name="connsiteY6" fmla="*/ 361950 h 2647950"/>
            <a:gd name="connsiteX7" fmla="*/ 857250 w 1400175"/>
            <a:gd name="connsiteY7" fmla="*/ 361950 h 2647950"/>
            <a:gd name="connsiteX8" fmla="*/ 847725 w 1400175"/>
            <a:gd name="connsiteY8" fmla="*/ 457200 h 2647950"/>
            <a:gd name="connsiteX9" fmla="*/ 638175 w 1400175"/>
            <a:gd name="connsiteY9" fmla="*/ 581025 h 2647950"/>
            <a:gd name="connsiteX10" fmla="*/ 381000 w 1400175"/>
            <a:gd name="connsiteY10" fmla="*/ 828675 h 2647950"/>
            <a:gd name="connsiteX11" fmla="*/ 295275 w 1400175"/>
            <a:gd name="connsiteY11" fmla="*/ 990600 h 2647950"/>
            <a:gd name="connsiteX12" fmla="*/ 228600 w 1400175"/>
            <a:gd name="connsiteY12" fmla="*/ 1114425 h 2647950"/>
            <a:gd name="connsiteX13" fmla="*/ 152400 w 1400175"/>
            <a:gd name="connsiteY13" fmla="*/ 1409700 h 2647950"/>
            <a:gd name="connsiteX14" fmla="*/ 171450 w 1400175"/>
            <a:gd name="connsiteY14" fmla="*/ 2352675 h 2647950"/>
            <a:gd name="connsiteX15" fmla="*/ 1114425 w 1400175"/>
            <a:gd name="connsiteY15" fmla="*/ 2343150 h 2647950"/>
            <a:gd name="connsiteX16" fmla="*/ 1095375 w 1400175"/>
            <a:gd name="connsiteY16" fmla="*/ 485775 h 2647950"/>
            <a:gd name="connsiteX17" fmla="*/ 1171575 w 1400175"/>
            <a:gd name="connsiteY17" fmla="*/ 247650 h 2647950"/>
            <a:gd name="connsiteX18" fmla="*/ 1400175 w 1400175"/>
            <a:gd name="connsiteY18" fmla="*/ 0 h 2647950"/>
            <a:gd name="connsiteX0" fmla="*/ 9525 w 1400175"/>
            <a:gd name="connsiteY0" fmla="*/ 2647950 h 2647950"/>
            <a:gd name="connsiteX1" fmla="*/ 0 w 1400175"/>
            <a:gd name="connsiteY1" fmla="*/ 1409700 h 2647950"/>
            <a:gd name="connsiteX2" fmla="*/ 76200 w 1400175"/>
            <a:gd name="connsiteY2" fmla="*/ 1047750 h 2647950"/>
            <a:gd name="connsiteX3" fmla="*/ 247650 w 1400175"/>
            <a:gd name="connsiteY3" fmla="*/ 762000 h 2647950"/>
            <a:gd name="connsiteX4" fmla="*/ 647700 w 1400175"/>
            <a:gd name="connsiteY4" fmla="*/ 438150 h 2647950"/>
            <a:gd name="connsiteX5" fmla="*/ 781050 w 1400175"/>
            <a:gd name="connsiteY5" fmla="*/ 361950 h 2647950"/>
            <a:gd name="connsiteX6" fmla="*/ 781050 w 1400175"/>
            <a:gd name="connsiteY6" fmla="*/ 361950 h 2647950"/>
            <a:gd name="connsiteX7" fmla="*/ 857250 w 1400175"/>
            <a:gd name="connsiteY7" fmla="*/ 361950 h 2647950"/>
            <a:gd name="connsiteX8" fmla="*/ 847725 w 1400175"/>
            <a:gd name="connsiteY8" fmla="*/ 457200 h 2647950"/>
            <a:gd name="connsiteX9" fmla="*/ 638175 w 1400175"/>
            <a:gd name="connsiteY9" fmla="*/ 581025 h 2647950"/>
            <a:gd name="connsiteX10" fmla="*/ 381000 w 1400175"/>
            <a:gd name="connsiteY10" fmla="*/ 828675 h 2647950"/>
            <a:gd name="connsiteX11" fmla="*/ 295275 w 1400175"/>
            <a:gd name="connsiteY11" fmla="*/ 990600 h 2647950"/>
            <a:gd name="connsiteX12" fmla="*/ 228600 w 1400175"/>
            <a:gd name="connsiteY12" fmla="*/ 1114425 h 2647950"/>
            <a:gd name="connsiteX13" fmla="*/ 152400 w 1400175"/>
            <a:gd name="connsiteY13" fmla="*/ 1409700 h 2647950"/>
            <a:gd name="connsiteX14" fmla="*/ 171450 w 1400175"/>
            <a:gd name="connsiteY14" fmla="*/ 2352675 h 2647950"/>
            <a:gd name="connsiteX15" fmla="*/ 1114425 w 1400175"/>
            <a:gd name="connsiteY15" fmla="*/ 2352675 h 2647950"/>
            <a:gd name="connsiteX16" fmla="*/ 1095375 w 1400175"/>
            <a:gd name="connsiteY16" fmla="*/ 485775 h 2647950"/>
            <a:gd name="connsiteX17" fmla="*/ 1171575 w 1400175"/>
            <a:gd name="connsiteY17" fmla="*/ 247650 h 2647950"/>
            <a:gd name="connsiteX18" fmla="*/ 1400175 w 1400175"/>
            <a:gd name="connsiteY18" fmla="*/ 0 h 2647950"/>
            <a:gd name="connsiteX0" fmla="*/ 9525 w 1400175"/>
            <a:gd name="connsiteY0" fmla="*/ 2647950 h 2647950"/>
            <a:gd name="connsiteX1" fmla="*/ 0 w 1400175"/>
            <a:gd name="connsiteY1" fmla="*/ 1409700 h 2647950"/>
            <a:gd name="connsiteX2" fmla="*/ 76200 w 1400175"/>
            <a:gd name="connsiteY2" fmla="*/ 1047750 h 2647950"/>
            <a:gd name="connsiteX3" fmla="*/ 247650 w 1400175"/>
            <a:gd name="connsiteY3" fmla="*/ 762000 h 2647950"/>
            <a:gd name="connsiteX4" fmla="*/ 647700 w 1400175"/>
            <a:gd name="connsiteY4" fmla="*/ 438150 h 2647950"/>
            <a:gd name="connsiteX5" fmla="*/ 781050 w 1400175"/>
            <a:gd name="connsiteY5" fmla="*/ 361950 h 2647950"/>
            <a:gd name="connsiteX6" fmla="*/ 781050 w 1400175"/>
            <a:gd name="connsiteY6" fmla="*/ 361950 h 2647950"/>
            <a:gd name="connsiteX7" fmla="*/ 857250 w 1400175"/>
            <a:gd name="connsiteY7" fmla="*/ 361950 h 2647950"/>
            <a:gd name="connsiteX8" fmla="*/ 847725 w 1400175"/>
            <a:gd name="connsiteY8" fmla="*/ 457200 h 2647950"/>
            <a:gd name="connsiteX9" fmla="*/ 638175 w 1400175"/>
            <a:gd name="connsiteY9" fmla="*/ 581025 h 2647950"/>
            <a:gd name="connsiteX10" fmla="*/ 381000 w 1400175"/>
            <a:gd name="connsiteY10" fmla="*/ 828675 h 2647950"/>
            <a:gd name="connsiteX11" fmla="*/ 295275 w 1400175"/>
            <a:gd name="connsiteY11" fmla="*/ 990600 h 2647950"/>
            <a:gd name="connsiteX12" fmla="*/ 228600 w 1400175"/>
            <a:gd name="connsiteY12" fmla="*/ 1114425 h 2647950"/>
            <a:gd name="connsiteX13" fmla="*/ 152400 w 1400175"/>
            <a:gd name="connsiteY13" fmla="*/ 1409700 h 2647950"/>
            <a:gd name="connsiteX14" fmla="*/ 171450 w 1400175"/>
            <a:gd name="connsiteY14" fmla="*/ 2352675 h 2647950"/>
            <a:gd name="connsiteX15" fmla="*/ 1114425 w 1400175"/>
            <a:gd name="connsiteY15" fmla="*/ 2352675 h 2647950"/>
            <a:gd name="connsiteX16" fmla="*/ 1095375 w 1400175"/>
            <a:gd name="connsiteY16" fmla="*/ 485775 h 2647950"/>
            <a:gd name="connsiteX17" fmla="*/ 1171575 w 1400175"/>
            <a:gd name="connsiteY17" fmla="*/ 247650 h 2647950"/>
            <a:gd name="connsiteX18" fmla="*/ 1400175 w 1400175"/>
            <a:gd name="connsiteY18" fmla="*/ 0 h 2647950"/>
            <a:gd name="connsiteX0" fmla="*/ 9525 w 1400175"/>
            <a:gd name="connsiteY0" fmla="*/ 2647950 h 2647950"/>
            <a:gd name="connsiteX1" fmla="*/ 0 w 1400175"/>
            <a:gd name="connsiteY1" fmla="*/ 1409700 h 2647950"/>
            <a:gd name="connsiteX2" fmla="*/ 76200 w 1400175"/>
            <a:gd name="connsiteY2" fmla="*/ 1047750 h 2647950"/>
            <a:gd name="connsiteX3" fmla="*/ 247650 w 1400175"/>
            <a:gd name="connsiteY3" fmla="*/ 762000 h 2647950"/>
            <a:gd name="connsiteX4" fmla="*/ 647700 w 1400175"/>
            <a:gd name="connsiteY4" fmla="*/ 438150 h 2647950"/>
            <a:gd name="connsiteX5" fmla="*/ 781050 w 1400175"/>
            <a:gd name="connsiteY5" fmla="*/ 361950 h 2647950"/>
            <a:gd name="connsiteX6" fmla="*/ 781050 w 1400175"/>
            <a:gd name="connsiteY6" fmla="*/ 361950 h 2647950"/>
            <a:gd name="connsiteX7" fmla="*/ 857250 w 1400175"/>
            <a:gd name="connsiteY7" fmla="*/ 361950 h 2647950"/>
            <a:gd name="connsiteX8" fmla="*/ 847725 w 1400175"/>
            <a:gd name="connsiteY8" fmla="*/ 457200 h 2647950"/>
            <a:gd name="connsiteX9" fmla="*/ 638175 w 1400175"/>
            <a:gd name="connsiteY9" fmla="*/ 581025 h 2647950"/>
            <a:gd name="connsiteX10" fmla="*/ 381000 w 1400175"/>
            <a:gd name="connsiteY10" fmla="*/ 828675 h 2647950"/>
            <a:gd name="connsiteX11" fmla="*/ 295275 w 1400175"/>
            <a:gd name="connsiteY11" fmla="*/ 990600 h 2647950"/>
            <a:gd name="connsiteX12" fmla="*/ 228600 w 1400175"/>
            <a:gd name="connsiteY12" fmla="*/ 1114425 h 2647950"/>
            <a:gd name="connsiteX13" fmla="*/ 152400 w 1400175"/>
            <a:gd name="connsiteY13" fmla="*/ 1409700 h 2647950"/>
            <a:gd name="connsiteX14" fmla="*/ 171450 w 1400175"/>
            <a:gd name="connsiteY14" fmla="*/ 2352675 h 2647950"/>
            <a:gd name="connsiteX15" fmla="*/ 1114425 w 1400175"/>
            <a:gd name="connsiteY15" fmla="*/ 2352675 h 2647950"/>
            <a:gd name="connsiteX16" fmla="*/ 1095375 w 1400175"/>
            <a:gd name="connsiteY16" fmla="*/ 485775 h 2647950"/>
            <a:gd name="connsiteX17" fmla="*/ 1171575 w 1400175"/>
            <a:gd name="connsiteY17" fmla="*/ 247650 h 2647950"/>
            <a:gd name="connsiteX18" fmla="*/ 1400175 w 1400175"/>
            <a:gd name="connsiteY18" fmla="*/ 0 h 2647950"/>
            <a:gd name="connsiteX0" fmla="*/ 9525 w 1400175"/>
            <a:gd name="connsiteY0" fmla="*/ 2647950 h 2647950"/>
            <a:gd name="connsiteX1" fmla="*/ 0 w 1400175"/>
            <a:gd name="connsiteY1" fmla="*/ 1409700 h 2647950"/>
            <a:gd name="connsiteX2" fmla="*/ 76200 w 1400175"/>
            <a:gd name="connsiteY2" fmla="*/ 1047750 h 2647950"/>
            <a:gd name="connsiteX3" fmla="*/ 247650 w 1400175"/>
            <a:gd name="connsiteY3" fmla="*/ 762000 h 2647950"/>
            <a:gd name="connsiteX4" fmla="*/ 647700 w 1400175"/>
            <a:gd name="connsiteY4" fmla="*/ 438150 h 2647950"/>
            <a:gd name="connsiteX5" fmla="*/ 781050 w 1400175"/>
            <a:gd name="connsiteY5" fmla="*/ 361950 h 2647950"/>
            <a:gd name="connsiteX6" fmla="*/ 781050 w 1400175"/>
            <a:gd name="connsiteY6" fmla="*/ 361950 h 2647950"/>
            <a:gd name="connsiteX7" fmla="*/ 857250 w 1400175"/>
            <a:gd name="connsiteY7" fmla="*/ 361950 h 2647950"/>
            <a:gd name="connsiteX8" fmla="*/ 847725 w 1400175"/>
            <a:gd name="connsiteY8" fmla="*/ 457200 h 2647950"/>
            <a:gd name="connsiteX9" fmla="*/ 638175 w 1400175"/>
            <a:gd name="connsiteY9" fmla="*/ 581025 h 2647950"/>
            <a:gd name="connsiteX10" fmla="*/ 381000 w 1400175"/>
            <a:gd name="connsiteY10" fmla="*/ 828675 h 2647950"/>
            <a:gd name="connsiteX11" fmla="*/ 295275 w 1400175"/>
            <a:gd name="connsiteY11" fmla="*/ 990600 h 2647950"/>
            <a:gd name="connsiteX12" fmla="*/ 228600 w 1400175"/>
            <a:gd name="connsiteY12" fmla="*/ 1114425 h 2647950"/>
            <a:gd name="connsiteX13" fmla="*/ 152400 w 1400175"/>
            <a:gd name="connsiteY13" fmla="*/ 1409700 h 2647950"/>
            <a:gd name="connsiteX14" fmla="*/ 171450 w 1400175"/>
            <a:gd name="connsiteY14" fmla="*/ 2352675 h 2647950"/>
            <a:gd name="connsiteX15" fmla="*/ 1114425 w 1400175"/>
            <a:gd name="connsiteY15" fmla="*/ 2352675 h 2647950"/>
            <a:gd name="connsiteX16" fmla="*/ 1095375 w 1400175"/>
            <a:gd name="connsiteY16" fmla="*/ 485775 h 2647950"/>
            <a:gd name="connsiteX17" fmla="*/ 1171575 w 1400175"/>
            <a:gd name="connsiteY17" fmla="*/ 247650 h 2647950"/>
            <a:gd name="connsiteX18" fmla="*/ 1400175 w 1400175"/>
            <a:gd name="connsiteY18" fmla="*/ 0 h 2647950"/>
            <a:gd name="connsiteX0" fmla="*/ 13181 w 1403831"/>
            <a:gd name="connsiteY0" fmla="*/ 2647950 h 2647950"/>
            <a:gd name="connsiteX1" fmla="*/ 3656 w 1403831"/>
            <a:gd name="connsiteY1" fmla="*/ 1409700 h 2647950"/>
            <a:gd name="connsiteX2" fmla="*/ 79856 w 1403831"/>
            <a:gd name="connsiteY2" fmla="*/ 1047750 h 2647950"/>
            <a:gd name="connsiteX3" fmla="*/ 251306 w 1403831"/>
            <a:gd name="connsiteY3" fmla="*/ 762000 h 2647950"/>
            <a:gd name="connsiteX4" fmla="*/ 651356 w 1403831"/>
            <a:gd name="connsiteY4" fmla="*/ 438150 h 2647950"/>
            <a:gd name="connsiteX5" fmla="*/ 784706 w 1403831"/>
            <a:gd name="connsiteY5" fmla="*/ 361950 h 2647950"/>
            <a:gd name="connsiteX6" fmla="*/ 784706 w 1403831"/>
            <a:gd name="connsiteY6" fmla="*/ 361950 h 2647950"/>
            <a:gd name="connsiteX7" fmla="*/ 860906 w 1403831"/>
            <a:gd name="connsiteY7" fmla="*/ 361950 h 2647950"/>
            <a:gd name="connsiteX8" fmla="*/ 851381 w 1403831"/>
            <a:gd name="connsiteY8" fmla="*/ 457200 h 2647950"/>
            <a:gd name="connsiteX9" fmla="*/ 641831 w 1403831"/>
            <a:gd name="connsiteY9" fmla="*/ 581025 h 2647950"/>
            <a:gd name="connsiteX10" fmla="*/ 384656 w 1403831"/>
            <a:gd name="connsiteY10" fmla="*/ 828675 h 2647950"/>
            <a:gd name="connsiteX11" fmla="*/ 298931 w 1403831"/>
            <a:gd name="connsiteY11" fmla="*/ 990600 h 2647950"/>
            <a:gd name="connsiteX12" fmla="*/ 232256 w 1403831"/>
            <a:gd name="connsiteY12" fmla="*/ 1114425 h 2647950"/>
            <a:gd name="connsiteX13" fmla="*/ 156056 w 1403831"/>
            <a:gd name="connsiteY13" fmla="*/ 1409700 h 2647950"/>
            <a:gd name="connsiteX14" fmla="*/ 175106 w 1403831"/>
            <a:gd name="connsiteY14" fmla="*/ 2352675 h 2647950"/>
            <a:gd name="connsiteX15" fmla="*/ 1118081 w 1403831"/>
            <a:gd name="connsiteY15" fmla="*/ 2352675 h 2647950"/>
            <a:gd name="connsiteX16" fmla="*/ 1099031 w 1403831"/>
            <a:gd name="connsiteY16" fmla="*/ 485775 h 2647950"/>
            <a:gd name="connsiteX17" fmla="*/ 1175231 w 1403831"/>
            <a:gd name="connsiteY17" fmla="*/ 247650 h 2647950"/>
            <a:gd name="connsiteX18" fmla="*/ 1403831 w 1403831"/>
            <a:gd name="connsiteY18" fmla="*/ 0 h 2647950"/>
            <a:gd name="connsiteX0" fmla="*/ 13181 w 1403831"/>
            <a:gd name="connsiteY0" fmla="*/ 2647950 h 2647950"/>
            <a:gd name="connsiteX1" fmla="*/ 3656 w 1403831"/>
            <a:gd name="connsiteY1" fmla="*/ 1409700 h 2647950"/>
            <a:gd name="connsiteX2" fmla="*/ 79856 w 1403831"/>
            <a:gd name="connsiteY2" fmla="*/ 1047750 h 2647950"/>
            <a:gd name="connsiteX3" fmla="*/ 251306 w 1403831"/>
            <a:gd name="connsiteY3" fmla="*/ 762000 h 2647950"/>
            <a:gd name="connsiteX4" fmla="*/ 651356 w 1403831"/>
            <a:gd name="connsiteY4" fmla="*/ 438150 h 2647950"/>
            <a:gd name="connsiteX5" fmla="*/ 784706 w 1403831"/>
            <a:gd name="connsiteY5" fmla="*/ 361950 h 2647950"/>
            <a:gd name="connsiteX6" fmla="*/ 784706 w 1403831"/>
            <a:gd name="connsiteY6" fmla="*/ 361950 h 2647950"/>
            <a:gd name="connsiteX7" fmla="*/ 860906 w 1403831"/>
            <a:gd name="connsiteY7" fmla="*/ 361950 h 2647950"/>
            <a:gd name="connsiteX8" fmla="*/ 851381 w 1403831"/>
            <a:gd name="connsiteY8" fmla="*/ 457200 h 2647950"/>
            <a:gd name="connsiteX9" fmla="*/ 641831 w 1403831"/>
            <a:gd name="connsiteY9" fmla="*/ 581025 h 2647950"/>
            <a:gd name="connsiteX10" fmla="*/ 384656 w 1403831"/>
            <a:gd name="connsiteY10" fmla="*/ 828675 h 2647950"/>
            <a:gd name="connsiteX11" fmla="*/ 298931 w 1403831"/>
            <a:gd name="connsiteY11" fmla="*/ 990600 h 2647950"/>
            <a:gd name="connsiteX12" fmla="*/ 232256 w 1403831"/>
            <a:gd name="connsiteY12" fmla="*/ 1114425 h 2647950"/>
            <a:gd name="connsiteX13" fmla="*/ 156056 w 1403831"/>
            <a:gd name="connsiteY13" fmla="*/ 1409700 h 2647950"/>
            <a:gd name="connsiteX14" fmla="*/ 175106 w 1403831"/>
            <a:gd name="connsiteY14" fmla="*/ 2352675 h 2647950"/>
            <a:gd name="connsiteX15" fmla="*/ 1118081 w 1403831"/>
            <a:gd name="connsiteY15" fmla="*/ 2352675 h 2647950"/>
            <a:gd name="connsiteX16" fmla="*/ 1099031 w 1403831"/>
            <a:gd name="connsiteY16" fmla="*/ 485775 h 2647950"/>
            <a:gd name="connsiteX17" fmla="*/ 1175231 w 1403831"/>
            <a:gd name="connsiteY17" fmla="*/ 247650 h 2647950"/>
            <a:gd name="connsiteX18" fmla="*/ 1403831 w 1403831"/>
            <a:gd name="connsiteY18" fmla="*/ 0 h 2647950"/>
            <a:gd name="connsiteX0" fmla="*/ 13181 w 1403831"/>
            <a:gd name="connsiteY0" fmla="*/ 2647950 h 2647950"/>
            <a:gd name="connsiteX1" fmla="*/ 3656 w 1403831"/>
            <a:gd name="connsiteY1" fmla="*/ 1409700 h 2647950"/>
            <a:gd name="connsiteX2" fmla="*/ 79856 w 1403831"/>
            <a:gd name="connsiteY2" fmla="*/ 1047750 h 2647950"/>
            <a:gd name="connsiteX3" fmla="*/ 251306 w 1403831"/>
            <a:gd name="connsiteY3" fmla="*/ 762000 h 2647950"/>
            <a:gd name="connsiteX4" fmla="*/ 651356 w 1403831"/>
            <a:gd name="connsiteY4" fmla="*/ 438150 h 2647950"/>
            <a:gd name="connsiteX5" fmla="*/ 784706 w 1403831"/>
            <a:gd name="connsiteY5" fmla="*/ 361950 h 2647950"/>
            <a:gd name="connsiteX6" fmla="*/ 784706 w 1403831"/>
            <a:gd name="connsiteY6" fmla="*/ 361950 h 2647950"/>
            <a:gd name="connsiteX7" fmla="*/ 860906 w 1403831"/>
            <a:gd name="connsiteY7" fmla="*/ 361950 h 2647950"/>
            <a:gd name="connsiteX8" fmla="*/ 851381 w 1403831"/>
            <a:gd name="connsiteY8" fmla="*/ 457200 h 2647950"/>
            <a:gd name="connsiteX9" fmla="*/ 641831 w 1403831"/>
            <a:gd name="connsiteY9" fmla="*/ 581025 h 2647950"/>
            <a:gd name="connsiteX10" fmla="*/ 384656 w 1403831"/>
            <a:gd name="connsiteY10" fmla="*/ 828675 h 2647950"/>
            <a:gd name="connsiteX11" fmla="*/ 298931 w 1403831"/>
            <a:gd name="connsiteY11" fmla="*/ 990600 h 2647950"/>
            <a:gd name="connsiteX12" fmla="*/ 232256 w 1403831"/>
            <a:gd name="connsiteY12" fmla="*/ 1114425 h 2647950"/>
            <a:gd name="connsiteX13" fmla="*/ 156056 w 1403831"/>
            <a:gd name="connsiteY13" fmla="*/ 1409700 h 2647950"/>
            <a:gd name="connsiteX14" fmla="*/ 175106 w 1403831"/>
            <a:gd name="connsiteY14" fmla="*/ 2352675 h 2647950"/>
            <a:gd name="connsiteX15" fmla="*/ 1118081 w 1403831"/>
            <a:gd name="connsiteY15" fmla="*/ 2352675 h 2647950"/>
            <a:gd name="connsiteX16" fmla="*/ 1099031 w 1403831"/>
            <a:gd name="connsiteY16" fmla="*/ 485775 h 2647950"/>
            <a:gd name="connsiteX17" fmla="*/ 1175231 w 1403831"/>
            <a:gd name="connsiteY17" fmla="*/ 247650 h 2647950"/>
            <a:gd name="connsiteX18" fmla="*/ 1403831 w 1403831"/>
            <a:gd name="connsiteY18" fmla="*/ 0 h 2647950"/>
            <a:gd name="connsiteX0" fmla="*/ 13181 w 1403831"/>
            <a:gd name="connsiteY0" fmla="*/ 2647950 h 2647950"/>
            <a:gd name="connsiteX1" fmla="*/ 3656 w 1403831"/>
            <a:gd name="connsiteY1" fmla="*/ 1409700 h 2647950"/>
            <a:gd name="connsiteX2" fmla="*/ 79856 w 1403831"/>
            <a:gd name="connsiteY2" fmla="*/ 1047750 h 2647950"/>
            <a:gd name="connsiteX3" fmla="*/ 251306 w 1403831"/>
            <a:gd name="connsiteY3" fmla="*/ 762000 h 2647950"/>
            <a:gd name="connsiteX4" fmla="*/ 651356 w 1403831"/>
            <a:gd name="connsiteY4" fmla="*/ 438150 h 2647950"/>
            <a:gd name="connsiteX5" fmla="*/ 784706 w 1403831"/>
            <a:gd name="connsiteY5" fmla="*/ 361950 h 2647950"/>
            <a:gd name="connsiteX6" fmla="*/ 784706 w 1403831"/>
            <a:gd name="connsiteY6" fmla="*/ 361950 h 2647950"/>
            <a:gd name="connsiteX7" fmla="*/ 860906 w 1403831"/>
            <a:gd name="connsiteY7" fmla="*/ 361950 h 2647950"/>
            <a:gd name="connsiteX8" fmla="*/ 851381 w 1403831"/>
            <a:gd name="connsiteY8" fmla="*/ 457200 h 2647950"/>
            <a:gd name="connsiteX9" fmla="*/ 641831 w 1403831"/>
            <a:gd name="connsiteY9" fmla="*/ 581025 h 2647950"/>
            <a:gd name="connsiteX10" fmla="*/ 384656 w 1403831"/>
            <a:gd name="connsiteY10" fmla="*/ 828675 h 2647950"/>
            <a:gd name="connsiteX11" fmla="*/ 298931 w 1403831"/>
            <a:gd name="connsiteY11" fmla="*/ 990600 h 2647950"/>
            <a:gd name="connsiteX12" fmla="*/ 232256 w 1403831"/>
            <a:gd name="connsiteY12" fmla="*/ 1114425 h 2647950"/>
            <a:gd name="connsiteX13" fmla="*/ 156056 w 1403831"/>
            <a:gd name="connsiteY13" fmla="*/ 1409700 h 2647950"/>
            <a:gd name="connsiteX14" fmla="*/ 175106 w 1403831"/>
            <a:gd name="connsiteY14" fmla="*/ 2352675 h 2647950"/>
            <a:gd name="connsiteX15" fmla="*/ 1118081 w 1403831"/>
            <a:gd name="connsiteY15" fmla="*/ 2352675 h 2647950"/>
            <a:gd name="connsiteX16" fmla="*/ 1099031 w 1403831"/>
            <a:gd name="connsiteY16" fmla="*/ 485775 h 2647950"/>
            <a:gd name="connsiteX17" fmla="*/ 1175231 w 1403831"/>
            <a:gd name="connsiteY17" fmla="*/ 247650 h 2647950"/>
            <a:gd name="connsiteX18" fmla="*/ 1403831 w 1403831"/>
            <a:gd name="connsiteY18" fmla="*/ 0 h 2647950"/>
            <a:gd name="connsiteX0" fmla="*/ 13181 w 1403831"/>
            <a:gd name="connsiteY0" fmla="*/ 2647950 h 2647950"/>
            <a:gd name="connsiteX1" fmla="*/ 3656 w 1403831"/>
            <a:gd name="connsiteY1" fmla="*/ 1409700 h 2647950"/>
            <a:gd name="connsiteX2" fmla="*/ 79856 w 1403831"/>
            <a:gd name="connsiteY2" fmla="*/ 1047750 h 2647950"/>
            <a:gd name="connsiteX3" fmla="*/ 251306 w 1403831"/>
            <a:gd name="connsiteY3" fmla="*/ 762000 h 2647950"/>
            <a:gd name="connsiteX4" fmla="*/ 651356 w 1403831"/>
            <a:gd name="connsiteY4" fmla="*/ 438150 h 2647950"/>
            <a:gd name="connsiteX5" fmla="*/ 784706 w 1403831"/>
            <a:gd name="connsiteY5" fmla="*/ 361950 h 2647950"/>
            <a:gd name="connsiteX6" fmla="*/ 784706 w 1403831"/>
            <a:gd name="connsiteY6" fmla="*/ 361950 h 2647950"/>
            <a:gd name="connsiteX7" fmla="*/ 860906 w 1403831"/>
            <a:gd name="connsiteY7" fmla="*/ 361950 h 2647950"/>
            <a:gd name="connsiteX8" fmla="*/ 851381 w 1403831"/>
            <a:gd name="connsiteY8" fmla="*/ 457200 h 2647950"/>
            <a:gd name="connsiteX9" fmla="*/ 641831 w 1403831"/>
            <a:gd name="connsiteY9" fmla="*/ 581025 h 2647950"/>
            <a:gd name="connsiteX10" fmla="*/ 384656 w 1403831"/>
            <a:gd name="connsiteY10" fmla="*/ 828675 h 2647950"/>
            <a:gd name="connsiteX11" fmla="*/ 298931 w 1403831"/>
            <a:gd name="connsiteY11" fmla="*/ 990600 h 2647950"/>
            <a:gd name="connsiteX12" fmla="*/ 232256 w 1403831"/>
            <a:gd name="connsiteY12" fmla="*/ 1114425 h 2647950"/>
            <a:gd name="connsiteX13" fmla="*/ 156056 w 1403831"/>
            <a:gd name="connsiteY13" fmla="*/ 1409700 h 2647950"/>
            <a:gd name="connsiteX14" fmla="*/ 175106 w 1403831"/>
            <a:gd name="connsiteY14" fmla="*/ 2352675 h 2647950"/>
            <a:gd name="connsiteX15" fmla="*/ 1118081 w 1403831"/>
            <a:gd name="connsiteY15" fmla="*/ 2352675 h 2647950"/>
            <a:gd name="connsiteX16" fmla="*/ 1099031 w 1403831"/>
            <a:gd name="connsiteY16" fmla="*/ 485775 h 2647950"/>
            <a:gd name="connsiteX17" fmla="*/ 1175231 w 1403831"/>
            <a:gd name="connsiteY17" fmla="*/ 247650 h 2647950"/>
            <a:gd name="connsiteX18" fmla="*/ 1403831 w 1403831"/>
            <a:gd name="connsiteY18" fmla="*/ 0 h 2647950"/>
            <a:gd name="connsiteX0" fmla="*/ 13181 w 1403831"/>
            <a:gd name="connsiteY0" fmla="*/ 2647950 h 2647950"/>
            <a:gd name="connsiteX1" fmla="*/ 3656 w 1403831"/>
            <a:gd name="connsiteY1" fmla="*/ 1409700 h 2647950"/>
            <a:gd name="connsiteX2" fmla="*/ 79856 w 1403831"/>
            <a:gd name="connsiteY2" fmla="*/ 1047750 h 2647950"/>
            <a:gd name="connsiteX3" fmla="*/ 251306 w 1403831"/>
            <a:gd name="connsiteY3" fmla="*/ 762000 h 2647950"/>
            <a:gd name="connsiteX4" fmla="*/ 651356 w 1403831"/>
            <a:gd name="connsiteY4" fmla="*/ 438150 h 2647950"/>
            <a:gd name="connsiteX5" fmla="*/ 784706 w 1403831"/>
            <a:gd name="connsiteY5" fmla="*/ 361950 h 2647950"/>
            <a:gd name="connsiteX6" fmla="*/ 784706 w 1403831"/>
            <a:gd name="connsiteY6" fmla="*/ 361950 h 2647950"/>
            <a:gd name="connsiteX7" fmla="*/ 860906 w 1403831"/>
            <a:gd name="connsiteY7" fmla="*/ 361950 h 2647950"/>
            <a:gd name="connsiteX8" fmla="*/ 851381 w 1403831"/>
            <a:gd name="connsiteY8" fmla="*/ 457200 h 2647950"/>
            <a:gd name="connsiteX9" fmla="*/ 641831 w 1403831"/>
            <a:gd name="connsiteY9" fmla="*/ 581025 h 2647950"/>
            <a:gd name="connsiteX10" fmla="*/ 384656 w 1403831"/>
            <a:gd name="connsiteY10" fmla="*/ 828675 h 2647950"/>
            <a:gd name="connsiteX11" fmla="*/ 298931 w 1403831"/>
            <a:gd name="connsiteY11" fmla="*/ 990600 h 2647950"/>
            <a:gd name="connsiteX12" fmla="*/ 232256 w 1403831"/>
            <a:gd name="connsiteY12" fmla="*/ 1114425 h 2647950"/>
            <a:gd name="connsiteX13" fmla="*/ 156056 w 1403831"/>
            <a:gd name="connsiteY13" fmla="*/ 1409700 h 2647950"/>
            <a:gd name="connsiteX14" fmla="*/ 175106 w 1403831"/>
            <a:gd name="connsiteY14" fmla="*/ 2352675 h 2647950"/>
            <a:gd name="connsiteX15" fmla="*/ 1118081 w 1403831"/>
            <a:gd name="connsiteY15" fmla="*/ 2352675 h 2647950"/>
            <a:gd name="connsiteX16" fmla="*/ 1099031 w 1403831"/>
            <a:gd name="connsiteY16" fmla="*/ 485775 h 2647950"/>
            <a:gd name="connsiteX17" fmla="*/ 1175231 w 1403831"/>
            <a:gd name="connsiteY17" fmla="*/ 247650 h 2647950"/>
            <a:gd name="connsiteX18" fmla="*/ 1403831 w 1403831"/>
            <a:gd name="connsiteY18" fmla="*/ 0 h 2647950"/>
            <a:gd name="connsiteX0" fmla="*/ 13181 w 1403831"/>
            <a:gd name="connsiteY0" fmla="*/ 2647950 h 2647950"/>
            <a:gd name="connsiteX1" fmla="*/ 3656 w 1403831"/>
            <a:gd name="connsiteY1" fmla="*/ 1409700 h 2647950"/>
            <a:gd name="connsiteX2" fmla="*/ 79856 w 1403831"/>
            <a:gd name="connsiteY2" fmla="*/ 1047750 h 2647950"/>
            <a:gd name="connsiteX3" fmla="*/ 251306 w 1403831"/>
            <a:gd name="connsiteY3" fmla="*/ 762000 h 2647950"/>
            <a:gd name="connsiteX4" fmla="*/ 651356 w 1403831"/>
            <a:gd name="connsiteY4" fmla="*/ 438150 h 2647950"/>
            <a:gd name="connsiteX5" fmla="*/ 784706 w 1403831"/>
            <a:gd name="connsiteY5" fmla="*/ 361950 h 2647950"/>
            <a:gd name="connsiteX6" fmla="*/ 784706 w 1403831"/>
            <a:gd name="connsiteY6" fmla="*/ 361950 h 2647950"/>
            <a:gd name="connsiteX7" fmla="*/ 860906 w 1403831"/>
            <a:gd name="connsiteY7" fmla="*/ 361950 h 2647950"/>
            <a:gd name="connsiteX8" fmla="*/ 851381 w 1403831"/>
            <a:gd name="connsiteY8" fmla="*/ 457200 h 2647950"/>
            <a:gd name="connsiteX9" fmla="*/ 641831 w 1403831"/>
            <a:gd name="connsiteY9" fmla="*/ 581025 h 2647950"/>
            <a:gd name="connsiteX10" fmla="*/ 384656 w 1403831"/>
            <a:gd name="connsiteY10" fmla="*/ 828675 h 2647950"/>
            <a:gd name="connsiteX11" fmla="*/ 232256 w 1403831"/>
            <a:gd name="connsiteY11" fmla="*/ 1114425 h 2647950"/>
            <a:gd name="connsiteX12" fmla="*/ 156056 w 1403831"/>
            <a:gd name="connsiteY12" fmla="*/ 1409700 h 2647950"/>
            <a:gd name="connsiteX13" fmla="*/ 175106 w 1403831"/>
            <a:gd name="connsiteY13" fmla="*/ 2352675 h 2647950"/>
            <a:gd name="connsiteX14" fmla="*/ 1118081 w 1403831"/>
            <a:gd name="connsiteY14" fmla="*/ 2352675 h 2647950"/>
            <a:gd name="connsiteX15" fmla="*/ 1099031 w 1403831"/>
            <a:gd name="connsiteY15" fmla="*/ 485775 h 2647950"/>
            <a:gd name="connsiteX16" fmla="*/ 1175231 w 1403831"/>
            <a:gd name="connsiteY16" fmla="*/ 247650 h 2647950"/>
            <a:gd name="connsiteX17" fmla="*/ 1403831 w 1403831"/>
            <a:gd name="connsiteY17" fmla="*/ 0 h 2647950"/>
            <a:gd name="connsiteX0" fmla="*/ 13181 w 1403831"/>
            <a:gd name="connsiteY0" fmla="*/ 2647950 h 2647950"/>
            <a:gd name="connsiteX1" fmla="*/ 3656 w 1403831"/>
            <a:gd name="connsiteY1" fmla="*/ 1409700 h 2647950"/>
            <a:gd name="connsiteX2" fmla="*/ 79856 w 1403831"/>
            <a:gd name="connsiteY2" fmla="*/ 1047750 h 2647950"/>
            <a:gd name="connsiteX3" fmla="*/ 251306 w 1403831"/>
            <a:gd name="connsiteY3" fmla="*/ 762000 h 2647950"/>
            <a:gd name="connsiteX4" fmla="*/ 651356 w 1403831"/>
            <a:gd name="connsiteY4" fmla="*/ 438150 h 2647950"/>
            <a:gd name="connsiteX5" fmla="*/ 784706 w 1403831"/>
            <a:gd name="connsiteY5" fmla="*/ 361950 h 2647950"/>
            <a:gd name="connsiteX6" fmla="*/ 784706 w 1403831"/>
            <a:gd name="connsiteY6" fmla="*/ 361950 h 2647950"/>
            <a:gd name="connsiteX7" fmla="*/ 860906 w 1403831"/>
            <a:gd name="connsiteY7" fmla="*/ 361950 h 2647950"/>
            <a:gd name="connsiteX8" fmla="*/ 851381 w 1403831"/>
            <a:gd name="connsiteY8" fmla="*/ 457200 h 2647950"/>
            <a:gd name="connsiteX9" fmla="*/ 641831 w 1403831"/>
            <a:gd name="connsiteY9" fmla="*/ 581025 h 2647950"/>
            <a:gd name="connsiteX10" fmla="*/ 384656 w 1403831"/>
            <a:gd name="connsiteY10" fmla="*/ 828675 h 2647950"/>
            <a:gd name="connsiteX11" fmla="*/ 232256 w 1403831"/>
            <a:gd name="connsiteY11" fmla="*/ 1114425 h 2647950"/>
            <a:gd name="connsiteX12" fmla="*/ 156056 w 1403831"/>
            <a:gd name="connsiteY12" fmla="*/ 1409700 h 2647950"/>
            <a:gd name="connsiteX13" fmla="*/ 175106 w 1403831"/>
            <a:gd name="connsiteY13" fmla="*/ 2352675 h 2647950"/>
            <a:gd name="connsiteX14" fmla="*/ 1118081 w 1403831"/>
            <a:gd name="connsiteY14" fmla="*/ 2352675 h 2647950"/>
            <a:gd name="connsiteX15" fmla="*/ 1099031 w 1403831"/>
            <a:gd name="connsiteY15" fmla="*/ 485775 h 2647950"/>
            <a:gd name="connsiteX16" fmla="*/ 1175231 w 1403831"/>
            <a:gd name="connsiteY16" fmla="*/ 247650 h 2647950"/>
            <a:gd name="connsiteX17" fmla="*/ 1403831 w 1403831"/>
            <a:gd name="connsiteY17" fmla="*/ 0 h 26479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</a:cxnLst>
          <a:rect l="l" t="t" r="r" b="b"/>
          <a:pathLst>
            <a:path w="1403831" h="2647950">
              <a:moveTo>
                <a:pt x="13181" y="2647950"/>
              </a:moveTo>
              <a:cubicBezTo>
                <a:pt x="10006" y="2235200"/>
                <a:pt x="-7457" y="1676400"/>
                <a:pt x="3656" y="1409700"/>
              </a:cubicBezTo>
              <a:cubicBezTo>
                <a:pt x="14769" y="1143000"/>
                <a:pt x="38581" y="1155700"/>
                <a:pt x="79856" y="1047750"/>
              </a:cubicBezTo>
              <a:cubicBezTo>
                <a:pt x="121131" y="939800"/>
                <a:pt x="156056" y="863600"/>
                <a:pt x="251306" y="762000"/>
              </a:cubicBezTo>
              <a:cubicBezTo>
                <a:pt x="346556" y="660400"/>
                <a:pt x="562456" y="504825"/>
                <a:pt x="651356" y="438150"/>
              </a:cubicBezTo>
              <a:cubicBezTo>
                <a:pt x="740256" y="371475"/>
                <a:pt x="762481" y="374650"/>
                <a:pt x="784706" y="361950"/>
              </a:cubicBezTo>
              <a:lnTo>
                <a:pt x="784706" y="361950"/>
              </a:lnTo>
              <a:cubicBezTo>
                <a:pt x="797406" y="361950"/>
                <a:pt x="864081" y="330200"/>
                <a:pt x="860906" y="361950"/>
              </a:cubicBezTo>
              <a:lnTo>
                <a:pt x="851381" y="457200"/>
              </a:lnTo>
              <a:cubicBezTo>
                <a:pt x="814869" y="493712"/>
                <a:pt x="727556" y="498475"/>
                <a:pt x="641831" y="581025"/>
              </a:cubicBezTo>
              <a:cubicBezTo>
                <a:pt x="556106" y="663575"/>
                <a:pt x="452918" y="739775"/>
                <a:pt x="384656" y="828675"/>
              </a:cubicBezTo>
              <a:cubicBezTo>
                <a:pt x="316394" y="917575"/>
                <a:pt x="257656" y="1016000"/>
                <a:pt x="232256" y="1114425"/>
              </a:cubicBezTo>
              <a:lnTo>
                <a:pt x="156056" y="1409700"/>
              </a:lnTo>
              <a:lnTo>
                <a:pt x="175106" y="2352675"/>
              </a:lnTo>
              <a:lnTo>
                <a:pt x="1118081" y="2352675"/>
              </a:lnTo>
              <a:lnTo>
                <a:pt x="1099031" y="485775"/>
              </a:lnTo>
              <a:lnTo>
                <a:pt x="1175231" y="247650"/>
              </a:lnTo>
              <a:lnTo>
                <a:pt x="1403831" y="0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514350</xdr:colOff>
      <xdr:row>14</xdr:row>
      <xdr:rowOff>1952625</xdr:rowOff>
    </xdr:from>
    <xdr:to>
      <xdr:col>4</xdr:col>
      <xdr:colOff>857249</xdr:colOff>
      <xdr:row>14</xdr:row>
      <xdr:rowOff>2279522</xdr:rowOff>
    </xdr:to>
    <xdr:pic>
      <xdr:nvPicPr>
        <xdr:cNvPr id="611" name="Рисунок 610" descr="Картинки по запросу знак парковка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8941" y="25713170"/>
          <a:ext cx="342899" cy="326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957590</xdr:colOff>
      <xdr:row>14</xdr:row>
      <xdr:rowOff>904314</xdr:rowOff>
    </xdr:from>
    <xdr:to>
      <xdr:col>4</xdr:col>
      <xdr:colOff>1108852</xdr:colOff>
      <xdr:row>14</xdr:row>
      <xdr:rowOff>1048195</xdr:rowOff>
    </xdr:to>
    <xdr:sp macro="" textlink="">
      <xdr:nvSpPr>
        <xdr:cNvPr id="612" name="Овал 61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4084031" y="24660785"/>
          <a:ext cx="151262" cy="143881"/>
        </a:xfrm>
        <a:prstGeom prst="ellipse">
          <a:avLst/>
        </a:prstGeom>
        <a:solidFill>
          <a:schemeClr val="tx1"/>
        </a:solidFill>
        <a:ln w="349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1042148</xdr:colOff>
      <xdr:row>14</xdr:row>
      <xdr:rowOff>212911</xdr:rowOff>
    </xdr:from>
    <xdr:to>
      <xdr:col>4</xdr:col>
      <xdr:colOff>1299883</xdr:colOff>
      <xdr:row>14</xdr:row>
      <xdr:rowOff>997323</xdr:rowOff>
    </xdr:to>
    <xdr:sp macro="" textlink="">
      <xdr:nvSpPr>
        <xdr:cNvPr id="615" name="Полилиния 614"/>
        <xdr:cNvSpPr/>
      </xdr:nvSpPr>
      <xdr:spPr>
        <a:xfrm>
          <a:off x="4168589" y="23969382"/>
          <a:ext cx="257735" cy="784412"/>
        </a:xfrm>
        <a:custGeom>
          <a:avLst/>
          <a:gdLst>
            <a:gd name="connsiteX0" fmla="*/ 0 w 257735"/>
            <a:gd name="connsiteY0" fmla="*/ 1333500 h 1333500"/>
            <a:gd name="connsiteX1" fmla="*/ 0 w 257735"/>
            <a:gd name="connsiteY1" fmla="*/ 347383 h 1333500"/>
            <a:gd name="connsiteX2" fmla="*/ 257735 w 257735"/>
            <a:gd name="connsiteY2" fmla="*/ 0 h 1333500"/>
            <a:gd name="connsiteX0" fmla="*/ 0 w 257735"/>
            <a:gd name="connsiteY0" fmla="*/ 784412 h 784412"/>
            <a:gd name="connsiteX1" fmla="*/ 0 w 257735"/>
            <a:gd name="connsiteY1" fmla="*/ 347383 h 784412"/>
            <a:gd name="connsiteX2" fmla="*/ 257735 w 257735"/>
            <a:gd name="connsiteY2" fmla="*/ 0 h 7844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784412">
              <a:moveTo>
                <a:pt x="0" y="784412"/>
              </a:moveTo>
              <a:lnTo>
                <a:pt x="0" y="347383"/>
              </a:lnTo>
              <a:lnTo>
                <a:pt x="257735" y="0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108858</xdr:colOff>
      <xdr:row>13</xdr:row>
      <xdr:rowOff>81642</xdr:rowOff>
    </xdr:from>
    <xdr:to>
      <xdr:col>6</xdr:col>
      <xdr:colOff>544286</xdr:colOff>
      <xdr:row>13</xdr:row>
      <xdr:rowOff>2340427</xdr:rowOff>
    </xdr:to>
    <xdr:sp macro="" textlink="">
      <xdr:nvSpPr>
        <xdr:cNvPr id="616" name="TextBox 615"/>
        <xdr:cNvSpPr txBox="1"/>
      </xdr:nvSpPr>
      <xdr:spPr>
        <a:xfrm>
          <a:off x="4626429" y="20764499"/>
          <a:ext cx="1551214" cy="2258785"/>
        </a:xfrm>
        <a:prstGeom prst="roundRect">
          <a:avLst/>
        </a:prstGeom>
        <a:solidFill>
          <a:srgbClr val="00B050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400" b="0">
              <a:solidFill>
                <a:schemeClr val="bg1"/>
              </a:solidFill>
            </a:rPr>
            <a:t>Сделайте фотографию</a:t>
          </a:r>
          <a:r>
            <a:rPr lang="ru-RU" sz="1400" b="0" baseline="0">
              <a:solidFill>
                <a:schemeClr val="bg1"/>
              </a:solidFill>
            </a:rPr>
            <a:t> с автомобилем и опубликуйте в </a:t>
          </a:r>
          <a:r>
            <a:rPr lang="en-US" sz="1400" b="0" baseline="0">
              <a:solidFill>
                <a:schemeClr val="bg1"/>
              </a:solidFill>
            </a:rPr>
            <a:t>INSTAGRAM </a:t>
          </a:r>
          <a:r>
            <a:rPr lang="ru-RU" sz="1400" b="0" baseline="0">
              <a:solidFill>
                <a:schemeClr val="bg1"/>
              </a:solidFill>
            </a:rPr>
            <a:t>с тэгом </a:t>
          </a:r>
          <a:r>
            <a:rPr lang="en-US" sz="1400" b="0" baseline="0">
              <a:solidFill>
                <a:schemeClr val="bg1"/>
              </a:solidFill>
            </a:rPr>
            <a:t>#skodarally2017</a:t>
          </a:r>
          <a:endParaRPr lang="ru-RU" sz="14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1439991</xdr:colOff>
      <xdr:row>15</xdr:row>
      <xdr:rowOff>436616</xdr:rowOff>
    </xdr:from>
    <xdr:to>
      <xdr:col>4</xdr:col>
      <xdr:colOff>541993</xdr:colOff>
      <xdr:row>15</xdr:row>
      <xdr:rowOff>802008</xdr:rowOff>
    </xdr:to>
    <xdr:cxnSp macro="">
      <xdr:nvCxnSpPr>
        <xdr:cNvPr id="618" name="Прямая со стрелкой 617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 flipV="1">
          <a:off x="2998627" y="27245161"/>
          <a:ext cx="677957" cy="365392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511385</xdr:colOff>
      <xdr:row>15</xdr:row>
      <xdr:rowOff>1341908</xdr:rowOff>
    </xdr:from>
    <xdr:to>
      <xdr:col>4</xdr:col>
      <xdr:colOff>583385</xdr:colOff>
      <xdr:row>15</xdr:row>
      <xdr:rowOff>1413908</xdr:rowOff>
    </xdr:to>
    <xdr:sp macro="" textlink="">
      <xdr:nvSpPr>
        <xdr:cNvPr id="619" name="Овал 618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 rot="6648108">
          <a:off x="3645976" y="28150453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546080</xdr:colOff>
      <xdr:row>15</xdr:row>
      <xdr:rowOff>104127</xdr:rowOff>
    </xdr:from>
    <xdr:to>
      <xdr:col>4</xdr:col>
      <xdr:colOff>546080</xdr:colOff>
      <xdr:row>15</xdr:row>
      <xdr:rowOff>1367594</xdr:rowOff>
    </xdr:to>
    <xdr:cxnSp macro="">
      <xdr:nvCxnSpPr>
        <xdr:cNvPr id="620" name="Прямая со стрелкой 619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3680671" y="26912672"/>
          <a:ext cx="0" cy="126346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1397825</xdr:colOff>
      <xdr:row>16</xdr:row>
      <xdr:rowOff>721179</xdr:rowOff>
    </xdr:from>
    <xdr:to>
      <xdr:col>4</xdr:col>
      <xdr:colOff>524677</xdr:colOff>
      <xdr:row>16</xdr:row>
      <xdr:rowOff>788402</xdr:rowOff>
    </xdr:to>
    <xdr:cxnSp macro="">
      <xdr:nvCxnSpPr>
        <xdr:cNvPr id="624" name="Прямая со стрелкой 623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 flipV="1">
          <a:off x="2956461" y="29053724"/>
          <a:ext cx="702807" cy="67223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494068</xdr:colOff>
      <xdr:row>16</xdr:row>
      <xdr:rowOff>1396337</xdr:rowOff>
    </xdr:from>
    <xdr:to>
      <xdr:col>4</xdr:col>
      <xdr:colOff>566068</xdr:colOff>
      <xdr:row>16</xdr:row>
      <xdr:rowOff>1468337</xdr:rowOff>
    </xdr:to>
    <xdr:sp macro="" textlink="">
      <xdr:nvSpPr>
        <xdr:cNvPr id="625" name="Овал 624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 rot="6648108">
          <a:off x="3628659" y="2972888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528763</xdr:colOff>
      <xdr:row>16</xdr:row>
      <xdr:rowOff>158556</xdr:rowOff>
    </xdr:from>
    <xdr:to>
      <xdr:col>4</xdr:col>
      <xdr:colOff>528763</xdr:colOff>
      <xdr:row>16</xdr:row>
      <xdr:rowOff>1422023</xdr:rowOff>
    </xdr:to>
    <xdr:cxnSp macro="">
      <xdr:nvCxnSpPr>
        <xdr:cNvPr id="626" name="Прямая со стрелкой 62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3663354" y="28491101"/>
          <a:ext cx="0" cy="126346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318413</xdr:colOff>
      <xdr:row>17</xdr:row>
      <xdr:rowOff>1355516</xdr:rowOff>
    </xdr:from>
    <xdr:to>
      <xdr:col>5</xdr:col>
      <xdr:colOff>390413</xdr:colOff>
      <xdr:row>17</xdr:row>
      <xdr:rowOff>1427516</xdr:rowOff>
    </xdr:to>
    <xdr:sp macro="" textlink="">
      <xdr:nvSpPr>
        <xdr:cNvPr id="629" name="Овал 628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 rot="6648108">
          <a:off x="4835984" y="31209587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353108</xdr:colOff>
      <xdr:row>17</xdr:row>
      <xdr:rowOff>117735</xdr:rowOff>
    </xdr:from>
    <xdr:to>
      <xdr:col>5</xdr:col>
      <xdr:colOff>353108</xdr:colOff>
      <xdr:row>17</xdr:row>
      <xdr:rowOff>1381202</xdr:rowOff>
    </xdr:to>
    <xdr:cxnSp macro="">
      <xdr:nvCxnSpPr>
        <xdr:cNvPr id="630" name="Прямая со стрелкой 629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4870679" y="29971806"/>
          <a:ext cx="0" cy="1263467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54429</xdr:colOff>
      <xdr:row>17</xdr:row>
      <xdr:rowOff>176894</xdr:rowOff>
    </xdr:from>
    <xdr:to>
      <xdr:col>4</xdr:col>
      <xdr:colOff>1292678</xdr:colOff>
      <xdr:row>17</xdr:row>
      <xdr:rowOff>1387930</xdr:rowOff>
    </xdr:to>
    <xdr:sp macro="" textlink="">
      <xdr:nvSpPr>
        <xdr:cNvPr id="633" name="TextBox 632"/>
        <xdr:cNvSpPr txBox="1"/>
      </xdr:nvSpPr>
      <xdr:spPr>
        <a:xfrm>
          <a:off x="1605643" y="30030965"/>
          <a:ext cx="2816678" cy="1211036"/>
        </a:xfrm>
        <a:prstGeom prst="roundRect">
          <a:avLst/>
        </a:prstGeom>
        <a:solidFill>
          <a:srgbClr val="00B050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400" b="0">
              <a:solidFill>
                <a:schemeClr val="bg1"/>
              </a:solidFill>
            </a:rPr>
            <a:t>Сделайте фотографию</a:t>
          </a:r>
          <a:r>
            <a:rPr lang="ru-RU" sz="1400" b="0" baseline="0">
              <a:solidFill>
                <a:schemeClr val="bg1"/>
              </a:solidFill>
            </a:rPr>
            <a:t> с автомобилем и опубликуйте в </a:t>
          </a:r>
          <a:r>
            <a:rPr lang="en-US" sz="1400" b="0" baseline="0">
              <a:solidFill>
                <a:schemeClr val="bg1"/>
              </a:solidFill>
            </a:rPr>
            <a:t>INSTAGRAM </a:t>
          </a:r>
          <a:r>
            <a:rPr lang="ru-RU" sz="1400" b="0" baseline="0">
              <a:solidFill>
                <a:schemeClr val="bg1"/>
              </a:solidFill>
            </a:rPr>
            <a:t>с тэгом </a:t>
          </a:r>
          <a:r>
            <a:rPr lang="en-US" sz="1400" b="0" baseline="0">
              <a:solidFill>
                <a:schemeClr val="bg1"/>
              </a:solidFill>
            </a:rPr>
            <a:t>#skodarally2017</a:t>
          </a:r>
          <a:endParaRPr lang="ru-RU" sz="14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1448761</xdr:colOff>
      <xdr:row>18</xdr:row>
      <xdr:rowOff>431509</xdr:rowOff>
    </xdr:from>
    <xdr:to>
      <xdr:col>4</xdr:col>
      <xdr:colOff>1225515</xdr:colOff>
      <xdr:row>18</xdr:row>
      <xdr:rowOff>1003279</xdr:rowOff>
    </xdr:to>
    <xdr:cxnSp macro="">
      <xdr:nvCxnSpPr>
        <xdr:cNvPr id="636" name="Прямая со стрелкой 63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 flipV="1">
          <a:off x="2991811" y="31825909"/>
          <a:ext cx="1357904" cy="571770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511386</xdr:colOff>
      <xdr:row>18</xdr:row>
      <xdr:rowOff>1373926</xdr:rowOff>
    </xdr:from>
    <xdr:to>
      <xdr:col>4</xdr:col>
      <xdr:colOff>583386</xdr:colOff>
      <xdr:row>18</xdr:row>
      <xdr:rowOff>1445926</xdr:rowOff>
    </xdr:to>
    <xdr:sp macro="" textlink="">
      <xdr:nvSpPr>
        <xdr:cNvPr id="637" name="Овал 636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 rot="6648108">
          <a:off x="3645977" y="32754471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546081</xdr:colOff>
      <xdr:row>18</xdr:row>
      <xdr:rowOff>705970</xdr:rowOff>
    </xdr:from>
    <xdr:to>
      <xdr:col>4</xdr:col>
      <xdr:colOff>546081</xdr:colOff>
      <xdr:row>18</xdr:row>
      <xdr:rowOff>1399613</xdr:rowOff>
    </xdr:to>
    <xdr:cxnSp macro="">
      <xdr:nvCxnSpPr>
        <xdr:cNvPr id="638" name="Прямая со стрелкой 637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3680672" y="32086515"/>
          <a:ext cx="0" cy="693643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1443404</xdr:colOff>
      <xdr:row>19</xdr:row>
      <xdr:rowOff>546641</xdr:rowOff>
    </xdr:from>
    <xdr:to>
      <xdr:col>4</xdr:col>
      <xdr:colOff>1244910</xdr:colOff>
      <xdr:row>19</xdr:row>
      <xdr:rowOff>891007</xdr:rowOff>
    </xdr:to>
    <xdr:cxnSp macro="">
      <xdr:nvCxnSpPr>
        <xdr:cNvPr id="645" name="Прямая со стрелкой 644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3002040" y="33451186"/>
          <a:ext cx="1377461" cy="344366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511386</xdr:colOff>
      <xdr:row>19</xdr:row>
      <xdr:rowOff>1369740</xdr:rowOff>
    </xdr:from>
    <xdr:to>
      <xdr:col>4</xdr:col>
      <xdr:colOff>583386</xdr:colOff>
      <xdr:row>19</xdr:row>
      <xdr:rowOff>1441740</xdr:rowOff>
    </xdr:to>
    <xdr:sp macro="" textlink="">
      <xdr:nvSpPr>
        <xdr:cNvPr id="646" name="Овал 645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 rot="6648108">
          <a:off x="3645977" y="34274285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546081</xdr:colOff>
      <xdr:row>19</xdr:row>
      <xdr:rowOff>701784</xdr:rowOff>
    </xdr:from>
    <xdr:to>
      <xdr:col>4</xdr:col>
      <xdr:colOff>546081</xdr:colOff>
      <xdr:row>19</xdr:row>
      <xdr:rowOff>1395427</xdr:rowOff>
    </xdr:to>
    <xdr:cxnSp macro="">
      <xdr:nvCxnSpPr>
        <xdr:cNvPr id="647" name="Прямая со стрелкой 646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3680672" y="33606329"/>
          <a:ext cx="0" cy="693643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407906</xdr:colOff>
      <xdr:row>19</xdr:row>
      <xdr:rowOff>80596</xdr:rowOff>
    </xdr:from>
    <xdr:to>
      <xdr:col>4</xdr:col>
      <xdr:colOff>542634</xdr:colOff>
      <xdr:row>19</xdr:row>
      <xdr:rowOff>704113</xdr:rowOff>
    </xdr:to>
    <xdr:cxnSp macro="">
      <xdr:nvCxnSpPr>
        <xdr:cNvPr id="648" name="Прямая со стрелкой 647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 flipV="1">
          <a:off x="3542497" y="32985141"/>
          <a:ext cx="134728" cy="62351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753841</xdr:colOff>
      <xdr:row>21</xdr:row>
      <xdr:rowOff>1314694</xdr:rowOff>
    </xdr:from>
    <xdr:to>
      <xdr:col>3</xdr:col>
      <xdr:colOff>825841</xdr:colOff>
      <xdr:row>21</xdr:row>
      <xdr:rowOff>1386694</xdr:rowOff>
    </xdr:to>
    <xdr:sp macro="" textlink="">
      <xdr:nvSpPr>
        <xdr:cNvPr id="666" name="Овал 665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 rot="6648108">
          <a:off x="2305055" y="37237551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788536</xdr:colOff>
      <xdr:row>21</xdr:row>
      <xdr:rowOff>76913</xdr:rowOff>
    </xdr:from>
    <xdr:to>
      <xdr:col>3</xdr:col>
      <xdr:colOff>788536</xdr:colOff>
      <xdr:row>21</xdr:row>
      <xdr:rowOff>1340380</xdr:rowOff>
    </xdr:to>
    <xdr:cxnSp macro="">
      <xdr:nvCxnSpPr>
        <xdr:cNvPr id="667" name="Прямая со стрелкой 666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339750" y="35999770"/>
          <a:ext cx="0" cy="126346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278955</xdr:colOff>
      <xdr:row>21</xdr:row>
      <xdr:rowOff>746572</xdr:rowOff>
    </xdr:from>
    <xdr:to>
      <xdr:col>3</xdr:col>
      <xdr:colOff>782411</xdr:colOff>
      <xdr:row>21</xdr:row>
      <xdr:rowOff>746572</xdr:rowOff>
    </xdr:to>
    <xdr:cxnSp macro="">
      <xdr:nvCxnSpPr>
        <xdr:cNvPr id="669" name="Прямая соединительная линия 668"/>
        <xdr:cNvCxnSpPr/>
      </xdr:nvCxnSpPr>
      <xdr:spPr>
        <a:xfrm flipH="1">
          <a:off x="1822005" y="36674872"/>
          <a:ext cx="503456" cy="0"/>
        </a:xfrm>
        <a:prstGeom prst="line">
          <a:avLst/>
        </a:prstGeom>
        <a:ln w="1905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593307</xdr:colOff>
      <xdr:row>21</xdr:row>
      <xdr:rowOff>557887</xdr:rowOff>
    </xdr:from>
    <xdr:to>
      <xdr:col>3</xdr:col>
      <xdr:colOff>644686</xdr:colOff>
      <xdr:row>21</xdr:row>
      <xdr:rowOff>938366</xdr:rowOff>
    </xdr:to>
    <xdr:grpSp>
      <xdr:nvGrpSpPr>
        <xdr:cNvPr id="670" name="Группа 669">
          <a:extLst>
            <a:ext uri="{FF2B5EF4-FFF2-40B4-BE49-F238E27FC236}">
              <a16:creationId xmlns:a16="http://schemas.microsoft.com/office/drawing/2014/main" xmlns="" id="{00000000-0008-0000-0600-000058000000}"/>
            </a:ext>
          </a:extLst>
        </xdr:cNvPr>
        <xdr:cNvGrpSpPr/>
      </xdr:nvGrpSpPr>
      <xdr:grpSpPr>
        <a:xfrm rot="5400000" flipH="1">
          <a:off x="1971807" y="36688837"/>
          <a:ext cx="380479" cy="51379"/>
          <a:chOff x="744834" y="5046016"/>
          <a:chExt cx="380479" cy="51379"/>
        </a:xfrm>
      </xdr:grpSpPr>
      <xdr:cxnSp macro="">
        <xdr:nvCxnSpPr>
          <xdr:cNvPr id="671" name="Прямая со стрелкой 670">
            <a:extLst>
              <a:ext uri="{FF2B5EF4-FFF2-40B4-BE49-F238E27FC236}">
                <a16:creationId xmlns:a16="http://schemas.microsoft.com/office/drawing/2014/main" xmlns="" id="{00000000-0008-0000-0600-00003E000000}"/>
              </a:ext>
            </a:extLst>
          </xdr:cNvPr>
          <xdr:cNvCxnSpPr/>
        </xdr:nvCxnSpPr>
        <xdr:spPr>
          <a:xfrm flipH="1">
            <a:off x="797770" y="5076837"/>
            <a:ext cx="116554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672" name="Овал 671">
            <a:extLst>
              <a:ext uri="{FF2B5EF4-FFF2-40B4-BE49-F238E27FC236}">
                <a16:creationId xmlns:a16="http://schemas.microsoft.com/office/drawing/2014/main" xmlns="" id="{00000000-0008-0000-0600-00003F000000}"/>
              </a:ext>
            </a:extLst>
          </xdr:cNvPr>
          <xdr:cNvSpPr/>
        </xdr:nvSpPr>
        <xdr:spPr>
          <a:xfrm>
            <a:off x="744834" y="5046016"/>
            <a:ext cx="46800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">
        <xdr:nvSpPr>
          <xdr:cNvPr id="673" name="Овал 672">
            <a:extLst>
              <a:ext uri="{FF2B5EF4-FFF2-40B4-BE49-F238E27FC236}">
                <a16:creationId xmlns:a16="http://schemas.microsoft.com/office/drawing/2014/main" xmlns="" id="{00000000-0008-0000-0600-000040000000}"/>
              </a:ext>
            </a:extLst>
          </xdr:cNvPr>
          <xdr:cNvSpPr/>
        </xdr:nvSpPr>
        <xdr:spPr>
          <a:xfrm>
            <a:off x="1078513" y="5046016"/>
            <a:ext cx="46800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674" name="Прямая со стрелкой 673">
            <a:extLst>
              <a:ext uri="{FF2B5EF4-FFF2-40B4-BE49-F238E27FC236}">
                <a16:creationId xmlns:a16="http://schemas.microsoft.com/office/drawing/2014/main" xmlns="" id="{00000000-0008-0000-0600-000041000000}"/>
              </a:ext>
            </a:extLst>
          </xdr:cNvPr>
          <xdr:cNvCxnSpPr/>
        </xdr:nvCxnSpPr>
        <xdr:spPr>
          <a:xfrm flipH="1">
            <a:off x="954671" y="5076837"/>
            <a:ext cx="119572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163286</xdr:colOff>
      <xdr:row>21</xdr:row>
      <xdr:rowOff>149678</xdr:rowOff>
    </xdr:from>
    <xdr:to>
      <xdr:col>6</xdr:col>
      <xdr:colOff>476250</xdr:colOff>
      <xdr:row>21</xdr:row>
      <xdr:rowOff>1360714</xdr:rowOff>
    </xdr:to>
    <xdr:sp macro="" textlink="">
      <xdr:nvSpPr>
        <xdr:cNvPr id="683" name="TextBox 682"/>
        <xdr:cNvSpPr txBox="1"/>
      </xdr:nvSpPr>
      <xdr:spPr>
        <a:xfrm>
          <a:off x="3292929" y="36072535"/>
          <a:ext cx="2816678" cy="1211036"/>
        </a:xfrm>
        <a:prstGeom prst="roundRect">
          <a:avLst/>
        </a:prstGeom>
        <a:solidFill>
          <a:srgbClr val="00B050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400" b="0">
              <a:solidFill>
                <a:schemeClr val="bg1"/>
              </a:solidFill>
            </a:rPr>
            <a:t>Финиш. Покажите фотографии в </a:t>
          </a:r>
          <a:r>
            <a:rPr lang="en-US" sz="1400" b="0">
              <a:solidFill>
                <a:schemeClr val="bg1"/>
              </a:solidFill>
            </a:rPr>
            <a:t>Instagram </a:t>
          </a:r>
          <a:r>
            <a:rPr lang="ru-RU" sz="1400" b="0">
              <a:solidFill>
                <a:schemeClr val="bg1"/>
              </a:solidFill>
            </a:rPr>
            <a:t>судье финиша (находится в здании)</a:t>
          </a:r>
        </a:p>
      </xdr:txBody>
    </xdr:sp>
    <xdr:clientData/>
  </xdr:twoCellAnchor>
  <xdr:twoCellAnchor>
    <xdr:from>
      <xdr:col>4</xdr:col>
      <xdr:colOff>536593</xdr:colOff>
      <xdr:row>20</xdr:row>
      <xdr:rowOff>1360298</xdr:rowOff>
    </xdr:from>
    <xdr:to>
      <xdr:col>4</xdr:col>
      <xdr:colOff>611906</xdr:colOff>
      <xdr:row>20</xdr:row>
      <xdr:rowOff>1432298</xdr:rowOff>
    </xdr:to>
    <xdr:sp macro="" textlink="">
      <xdr:nvSpPr>
        <xdr:cNvPr id="181" name="Овал 180">
          <a:extLst>
            <a:ext uri="{FF2B5EF4-FFF2-40B4-BE49-F238E27FC236}">
              <a16:creationId xmlns:a16="http://schemas.microsoft.com/office/drawing/2014/main" xmlns="" id="{00000000-0008-0000-0900-00003D020000}"/>
            </a:ext>
          </a:extLst>
        </xdr:cNvPr>
        <xdr:cNvSpPr/>
      </xdr:nvSpPr>
      <xdr:spPr>
        <a:xfrm>
          <a:off x="3671184" y="35788843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566004</xdr:colOff>
      <xdr:row>20</xdr:row>
      <xdr:rowOff>85725</xdr:rowOff>
    </xdr:from>
    <xdr:to>
      <xdr:col>4</xdr:col>
      <xdr:colOff>566004</xdr:colOff>
      <xdr:row>20</xdr:row>
      <xdr:rowOff>1414535</xdr:rowOff>
    </xdr:to>
    <xdr:cxnSp macro="">
      <xdr:nvCxnSpPr>
        <xdr:cNvPr id="182" name="Прямая со стрелкой 181">
          <a:extLst>
            <a:ext uri="{FF2B5EF4-FFF2-40B4-BE49-F238E27FC236}">
              <a16:creationId xmlns:a16="http://schemas.microsoft.com/office/drawing/2014/main" xmlns="" id="{00000000-0008-0000-0900-00003B020000}"/>
            </a:ext>
          </a:extLst>
        </xdr:cNvPr>
        <xdr:cNvCxnSpPr/>
      </xdr:nvCxnSpPr>
      <xdr:spPr>
        <a:xfrm flipV="1">
          <a:off x="3700595" y="34514270"/>
          <a:ext cx="0" cy="1328810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1428750</xdr:colOff>
      <xdr:row>20</xdr:row>
      <xdr:rowOff>745523</xdr:rowOff>
    </xdr:from>
    <xdr:to>
      <xdr:col>4</xdr:col>
      <xdr:colOff>1299785</xdr:colOff>
      <xdr:row>20</xdr:row>
      <xdr:rowOff>745523</xdr:rowOff>
    </xdr:to>
    <xdr:cxnSp macro="">
      <xdr:nvCxnSpPr>
        <xdr:cNvPr id="183" name="Прямая со стрелкой 182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>
          <a:off x="2987386" y="35174068"/>
          <a:ext cx="1446990" cy="0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733425</xdr:colOff>
      <xdr:row>5</xdr:row>
      <xdr:rowOff>361950</xdr:rowOff>
    </xdr:from>
    <xdr:to>
      <xdr:col>4</xdr:col>
      <xdr:colOff>887824</xdr:colOff>
      <xdr:row>5</xdr:row>
      <xdr:rowOff>794668</xdr:rowOff>
    </xdr:to>
    <xdr:grpSp>
      <xdr:nvGrpSpPr>
        <xdr:cNvPr id="172" name="Группа 171">
          <a:extLst>
            <a:ext uri="{FF2B5EF4-FFF2-40B4-BE49-F238E27FC236}">
              <a16:creationId xmlns:a16="http://schemas.microsoft.com/office/drawing/2014/main" xmlns="" id="{00000000-0008-0000-0600-000045000000}"/>
            </a:ext>
          </a:extLst>
        </xdr:cNvPr>
        <xdr:cNvGrpSpPr>
          <a:grpSpLocks noChangeAspect="1"/>
        </xdr:cNvGrpSpPr>
      </xdr:nvGrpSpPr>
      <xdr:grpSpPr>
        <a:xfrm>
          <a:off x="3857625" y="5848350"/>
          <a:ext cx="154399" cy="432718"/>
          <a:chOff x="635632" y="15053070"/>
          <a:chExt cx="102554" cy="297657"/>
        </a:xfrm>
      </xdr:grpSpPr>
      <xdr:sp macro="" textlink="">
        <xdr:nvSpPr>
          <xdr:cNvPr id="173" name="Прямоугольник 172">
            <a:extLst>
              <a:ext uri="{FF2B5EF4-FFF2-40B4-BE49-F238E27FC236}">
                <a16:creationId xmlns:a16="http://schemas.microsoft.com/office/drawing/2014/main" xmlns="" id="{00000000-0008-0000-0600-000046000000}"/>
              </a:ext>
            </a:extLst>
          </xdr:cNvPr>
          <xdr:cNvSpPr/>
        </xdr:nvSpPr>
        <xdr:spPr>
          <a:xfrm flipH="1">
            <a:off x="635632" y="15053070"/>
            <a:ext cx="102554" cy="297657"/>
          </a:xfrm>
          <a:prstGeom prst="rect">
            <a:avLst/>
          </a:prstGeom>
          <a:solidFill>
            <a:schemeClr val="tx1">
              <a:lumMod val="75000"/>
              <a:lumOff val="2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74" name="Овал 173">
            <a:extLst>
              <a:ext uri="{FF2B5EF4-FFF2-40B4-BE49-F238E27FC236}">
                <a16:creationId xmlns:a16="http://schemas.microsoft.com/office/drawing/2014/main" xmlns="" id="{00000000-0008-0000-0600-000047000000}"/>
              </a:ext>
            </a:extLst>
          </xdr:cNvPr>
          <xdr:cNvSpPr/>
        </xdr:nvSpPr>
        <xdr:spPr>
          <a:xfrm flipH="1">
            <a:off x="650305" y="15069367"/>
            <a:ext cx="73208" cy="73208"/>
          </a:xfrm>
          <a:prstGeom prst="ellipse">
            <a:avLst/>
          </a:prstGeom>
          <a:solidFill>
            <a:srgbClr val="FF000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75" name="Овал 174">
            <a:extLst>
              <a:ext uri="{FF2B5EF4-FFF2-40B4-BE49-F238E27FC236}">
                <a16:creationId xmlns:a16="http://schemas.microsoft.com/office/drawing/2014/main" xmlns="" id="{00000000-0008-0000-0600-000048000000}"/>
              </a:ext>
            </a:extLst>
          </xdr:cNvPr>
          <xdr:cNvSpPr/>
        </xdr:nvSpPr>
        <xdr:spPr>
          <a:xfrm flipH="1">
            <a:off x="650305" y="15165295"/>
            <a:ext cx="73208" cy="73208"/>
          </a:xfrm>
          <a:prstGeom prst="ellipse">
            <a:avLst/>
          </a:prstGeom>
          <a:solidFill>
            <a:srgbClr val="FFFF0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76" name="Овал 175">
            <a:extLst>
              <a:ext uri="{FF2B5EF4-FFF2-40B4-BE49-F238E27FC236}">
                <a16:creationId xmlns:a16="http://schemas.microsoft.com/office/drawing/2014/main" xmlns="" id="{00000000-0008-0000-0600-000049000000}"/>
              </a:ext>
            </a:extLst>
          </xdr:cNvPr>
          <xdr:cNvSpPr/>
        </xdr:nvSpPr>
        <xdr:spPr>
          <a:xfrm flipH="1">
            <a:off x="650305" y="15261223"/>
            <a:ext cx="73208" cy="73208"/>
          </a:xfrm>
          <a:prstGeom prst="ellipse">
            <a:avLst/>
          </a:prstGeom>
          <a:solidFill>
            <a:srgbClr val="00B05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733425</xdr:colOff>
      <xdr:row>4</xdr:row>
      <xdr:rowOff>800100</xdr:rowOff>
    </xdr:from>
    <xdr:to>
      <xdr:col>4</xdr:col>
      <xdr:colOff>887824</xdr:colOff>
      <xdr:row>4</xdr:row>
      <xdr:rowOff>1232818</xdr:rowOff>
    </xdr:to>
    <xdr:grpSp>
      <xdr:nvGrpSpPr>
        <xdr:cNvPr id="177" name="Группа 176">
          <a:extLst>
            <a:ext uri="{FF2B5EF4-FFF2-40B4-BE49-F238E27FC236}">
              <a16:creationId xmlns:a16="http://schemas.microsoft.com/office/drawing/2014/main" xmlns="" id="{00000000-0008-0000-0600-000045000000}"/>
            </a:ext>
          </a:extLst>
        </xdr:cNvPr>
        <xdr:cNvGrpSpPr>
          <a:grpSpLocks noChangeAspect="1"/>
        </xdr:cNvGrpSpPr>
      </xdr:nvGrpSpPr>
      <xdr:grpSpPr>
        <a:xfrm>
          <a:off x="3857625" y="4762500"/>
          <a:ext cx="154399" cy="432718"/>
          <a:chOff x="635632" y="15053070"/>
          <a:chExt cx="102554" cy="297657"/>
        </a:xfrm>
      </xdr:grpSpPr>
      <xdr:sp macro="" textlink="">
        <xdr:nvSpPr>
          <xdr:cNvPr id="178" name="Прямоугольник 177">
            <a:extLst>
              <a:ext uri="{FF2B5EF4-FFF2-40B4-BE49-F238E27FC236}">
                <a16:creationId xmlns:a16="http://schemas.microsoft.com/office/drawing/2014/main" xmlns="" id="{00000000-0008-0000-0600-000046000000}"/>
              </a:ext>
            </a:extLst>
          </xdr:cNvPr>
          <xdr:cNvSpPr/>
        </xdr:nvSpPr>
        <xdr:spPr>
          <a:xfrm flipH="1">
            <a:off x="635632" y="15053070"/>
            <a:ext cx="102554" cy="297657"/>
          </a:xfrm>
          <a:prstGeom prst="rect">
            <a:avLst/>
          </a:prstGeom>
          <a:solidFill>
            <a:schemeClr val="tx1">
              <a:lumMod val="75000"/>
              <a:lumOff val="2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79" name="Овал 178">
            <a:extLst>
              <a:ext uri="{FF2B5EF4-FFF2-40B4-BE49-F238E27FC236}">
                <a16:creationId xmlns:a16="http://schemas.microsoft.com/office/drawing/2014/main" xmlns="" id="{00000000-0008-0000-0600-000047000000}"/>
              </a:ext>
            </a:extLst>
          </xdr:cNvPr>
          <xdr:cNvSpPr/>
        </xdr:nvSpPr>
        <xdr:spPr>
          <a:xfrm flipH="1">
            <a:off x="650305" y="15069367"/>
            <a:ext cx="73208" cy="73208"/>
          </a:xfrm>
          <a:prstGeom prst="ellipse">
            <a:avLst/>
          </a:prstGeom>
          <a:solidFill>
            <a:srgbClr val="FF000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80" name="Овал 179">
            <a:extLst>
              <a:ext uri="{FF2B5EF4-FFF2-40B4-BE49-F238E27FC236}">
                <a16:creationId xmlns:a16="http://schemas.microsoft.com/office/drawing/2014/main" xmlns="" id="{00000000-0008-0000-0600-000048000000}"/>
              </a:ext>
            </a:extLst>
          </xdr:cNvPr>
          <xdr:cNvSpPr/>
        </xdr:nvSpPr>
        <xdr:spPr>
          <a:xfrm flipH="1">
            <a:off x="650305" y="15165295"/>
            <a:ext cx="73208" cy="73208"/>
          </a:xfrm>
          <a:prstGeom prst="ellipse">
            <a:avLst/>
          </a:prstGeom>
          <a:solidFill>
            <a:srgbClr val="FFFF0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84" name="Овал 183">
            <a:extLst>
              <a:ext uri="{FF2B5EF4-FFF2-40B4-BE49-F238E27FC236}">
                <a16:creationId xmlns:a16="http://schemas.microsoft.com/office/drawing/2014/main" xmlns="" id="{00000000-0008-0000-0600-000049000000}"/>
              </a:ext>
            </a:extLst>
          </xdr:cNvPr>
          <xdr:cNvSpPr/>
        </xdr:nvSpPr>
        <xdr:spPr>
          <a:xfrm flipH="1">
            <a:off x="650305" y="15261223"/>
            <a:ext cx="73208" cy="73208"/>
          </a:xfrm>
          <a:prstGeom prst="ellipse">
            <a:avLst/>
          </a:prstGeom>
          <a:solidFill>
            <a:srgbClr val="00B05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 editAs="oneCell">
    <xdr:from>
      <xdr:col>4</xdr:col>
      <xdr:colOff>666750</xdr:colOff>
      <xdr:row>9</xdr:row>
      <xdr:rowOff>800100</xdr:rowOff>
    </xdr:from>
    <xdr:to>
      <xdr:col>4</xdr:col>
      <xdr:colOff>923807</xdr:colOff>
      <xdr:row>9</xdr:row>
      <xdr:rowOff>1052100</xdr:rowOff>
    </xdr:to>
    <xdr:pic>
      <xdr:nvPicPr>
        <xdr:cNvPr id="185" name="Рисунок 18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12382500"/>
          <a:ext cx="257057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570140</xdr:colOff>
      <xdr:row>12</xdr:row>
      <xdr:rowOff>813707</xdr:rowOff>
    </xdr:from>
    <xdr:to>
      <xdr:col>4</xdr:col>
      <xdr:colOff>724539</xdr:colOff>
      <xdr:row>12</xdr:row>
      <xdr:rowOff>1246425</xdr:rowOff>
    </xdr:to>
    <xdr:grpSp>
      <xdr:nvGrpSpPr>
        <xdr:cNvPr id="186" name="Группа 185">
          <a:extLst>
            <a:ext uri="{FF2B5EF4-FFF2-40B4-BE49-F238E27FC236}">
              <a16:creationId xmlns:a16="http://schemas.microsoft.com/office/drawing/2014/main" xmlns="" id="{00000000-0008-0000-0600-000045000000}"/>
            </a:ext>
          </a:extLst>
        </xdr:cNvPr>
        <xdr:cNvGrpSpPr>
          <a:grpSpLocks noChangeAspect="1"/>
        </xdr:cNvGrpSpPr>
      </xdr:nvGrpSpPr>
      <xdr:grpSpPr>
        <a:xfrm>
          <a:off x="3694340" y="20016107"/>
          <a:ext cx="154399" cy="432718"/>
          <a:chOff x="635632" y="15053070"/>
          <a:chExt cx="102554" cy="297657"/>
        </a:xfrm>
      </xdr:grpSpPr>
      <xdr:sp macro="" textlink="">
        <xdr:nvSpPr>
          <xdr:cNvPr id="187" name="Прямоугольник 186">
            <a:extLst>
              <a:ext uri="{FF2B5EF4-FFF2-40B4-BE49-F238E27FC236}">
                <a16:creationId xmlns:a16="http://schemas.microsoft.com/office/drawing/2014/main" xmlns="" id="{00000000-0008-0000-0600-000046000000}"/>
              </a:ext>
            </a:extLst>
          </xdr:cNvPr>
          <xdr:cNvSpPr/>
        </xdr:nvSpPr>
        <xdr:spPr>
          <a:xfrm flipH="1">
            <a:off x="635632" y="15053070"/>
            <a:ext cx="102554" cy="297657"/>
          </a:xfrm>
          <a:prstGeom prst="rect">
            <a:avLst/>
          </a:prstGeom>
          <a:solidFill>
            <a:schemeClr val="tx1">
              <a:lumMod val="75000"/>
              <a:lumOff val="2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88" name="Овал 187">
            <a:extLst>
              <a:ext uri="{FF2B5EF4-FFF2-40B4-BE49-F238E27FC236}">
                <a16:creationId xmlns:a16="http://schemas.microsoft.com/office/drawing/2014/main" xmlns="" id="{00000000-0008-0000-0600-000047000000}"/>
              </a:ext>
            </a:extLst>
          </xdr:cNvPr>
          <xdr:cNvSpPr/>
        </xdr:nvSpPr>
        <xdr:spPr>
          <a:xfrm flipH="1">
            <a:off x="650305" y="15069367"/>
            <a:ext cx="73208" cy="73208"/>
          </a:xfrm>
          <a:prstGeom prst="ellipse">
            <a:avLst/>
          </a:prstGeom>
          <a:solidFill>
            <a:srgbClr val="FF000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89" name="Овал 188">
            <a:extLst>
              <a:ext uri="{FF2B5EF4-FFF2-40B4-BE49-F238E27FC236}">
                <a16:creationId xmlns:a16="http://schemas.microsoft.com/office/drawing/2014/main" xmlns="" id="{00000000-0008-0000-0600-000048000000}"/>
              </a:ext>
            </a:extLst>
          </xdr:cNvPr>
          <xdr:cNvSpPr/>
        </xdr:nvSpPr>
        <xdr:spPr>
          <a:xfrm flipH="1">
            <a:off x="650305" y="15165295"/>
            <a:ext cx="73208" cy="73208"/>
          </a:xfrm>
          <a:prstGeom prst="ellipse">
            <a:avLst/>
          </a:prstGeom>
          <a:solidFill>
            <a:srgbClr val="FFFF0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90" name="Овал 189">
            <a:extLst>
              <a:ext uri="{FF2B5EF4-FFF2-40B4-BE49-F238E27FC236}">
                <a16:creationId xmlns:a16="http://schemas.microsoft.com/office/drawing/2014/main" xmlns="" id="{00000000-0008-0000-0600-000049000000}"/>
              </a:ext>
            </a:extLst>
          </xdr:cNvPr>
          <xdr:cNvSpPr/>
        </xdr:nvSpPr>
        <xdr:spPr>
          <a:xfrm flipH="1">
            <a:off x="650305" y="15261223"/>
            <a:ext cx="73208" cy="73208"/>
          </a:xfrm>
          <a:prstGeom prst="ellipse">
            <a:avLst/>
          </a:prstGeom>
          <a:solidFill>
            <a:srgbClr val="00B05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597354</xdr:colOff>
      <xdr:row>18</xdr:row>
      <xdr:rowOff>881743</xdr:rowOff>
    </xdr:from>
    <xdr:to>
      <xdr:col>4</xdr:col>
      <xdr:colOff>751753</xdr:colOff>
      <xdr:row>18</xdr:row>
      <xdr:rowOff>1314461</xdr:rowOff>
    </xdr:to>
    <xdr:grpSp>
      <xdr:nvGrpSpPr>
        <xdr:cNvPr id="191" name="Группа 190">
          <a:extLst>
            <a:ext uri="{FF2B5EF4-FFF2-40B4-BE49-F238E27FC236}">
              <a16:creationId xmlns:a16="http://schemas.microsoft.com/office/drawing/2014/main" xmlns="" id="{00000000-0008-0000-0600-000045000000}"/>
            </a:ext>
          </a:extLst>
        </xdr:cNvPr>
        <xdr:cNvGrpSpPr>
          <a:grpSpLocks noChangeAspect="1"/>
        </xdr:cNvGrpSpPr>
      </xdr:nvGrpSpPr>
      <xdr:grpSpPr>
        <a:xfrm>
          <a:off x="3721554" y="32276143"/>
          <a:ext cx="154399" cy="432718"/>
          <a:chOff x="635632" y="15053070"/>
          <a:chExt cx="102554" cy="297657"/>
        </a:xfrm>
      </xdr:grpSpPr>
      <xdr:sp macro="" textlink="">
        <xdr:nvSpPr>
          <xdr:cNvPr id="192" name="Прямоугольник 191">
            <a:extLst>
              <a:ext uri="{FF2B5EF4-FFF2-40B4-BE49-F238E27FC236}">
                <a16:creationId xmlns:a16="http://schemas.microsoft.com/office/drawing/2014/main" xmlns="" id="{00000000-0008-0000-0600-000046000000}"/>
              </a:ext>
            </a:extLst>
          </xdr:cNvPr>
          <xdr:cNvSpPr/>
        </xdr:nvSpPr>
        <xdr:spPr>
          <a:xfrm flipH="1">
            <a:off x="635632" y="15053070"/>
            <a:ext cx="102554" cy="297657"/>
          </a:xfrm>
          <a:prstGeom prst="rect">
            <a:avLst/>
          </a:prstGeom>
          <a:solidFill>
            <a:schemeClr val="tx1">
              <a:lumMod val="75000"/>
              <a:lumOff val="2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93" name="Овал 192">
            <a:extLst>
              <a:ext uri="{FF2B5EF4-FFF2-40B4-BE49-F238E27FC236}">
                <a16:creationId xmlns:a16="http://schemas.microsoft.com/office/drawing/2014/main" xmlns="" id="{00000000-0008-0000-0600-000047000000}"/>
              </a:ext>
            </a:extLst>
          </xdr:cNvPr>
          <xdr:cNvSpPr/>
        </xdr:nvSpPr>
        <xdr:spPr>
          <a:xfrm flipH="1">
            <a:off x="650305" y="15069367"/>
            <a:ext cx="73208" cy="73208"/>
          </a:xfrm>
          <a:prstGeom prst="ellipse">
            <a:avLst/>
          </a:prstGeom>
          <a:solidFill>
            <a:srgbClr val="FF000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94" name="Овал 193">
            <a:extLst>
              <a:ext uri="{FF2B5EF4-FFF2-40B4-BE49-F238E27FC236}">
                <a16:creationId xmlns:a16="http://schemas.microsoft.com/office/drawing/2014/main" xmlns="" id="{00000000-0008-0000-0600-000048000000}"/>
              </a:ext>
            </a:extLst>
          </xdr:cNvPr>
          <xdr:cNvSpPr/>
        </xdr:nvSpPr>
        <xdr:spPr>
          <a:xfrm flipH="1">
            <a:off x="650305" y="15165295"/>
            <a:ext cx="73208" cy="73208"/>
          </a:xfrm>
          <a:prstGeom prst="ellipse">
            <a:avLst/>
          </a:prstGeom>
          <a:solidFill>
            <a:srgbClr val="FFFF0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95" name="Овал 194">
            <a:extLst>
              <a:ext uri="{FF2B5EF4-FFF2-40B4-BE49-F238E27FC236}">
                <a16:creationId xmlns:a16="http://schemas.microsoft.com/office/drawing/2014/main" xmlns="" id="{00000000-0008-0000-0600-000049000000}"/>
              </a:ext>
            </a:extLst>
          </xdr:cNvPr>
          <xdr:cNvSpPr/>
        </xdr:nvSpPr>
        <xdr:spPr>
          <a:xfrm flipH="1">
            <a:off x="650305" y="15261223"/>
            <a:ext cx="73208" cy="73208"/>
          </a:xfrm>
          <a:prstGeom prst="ellipse">
            <a:avLst/>
          </a:prstGeom>
          <a:solidFill>
            <a:srgbClr val="00B05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624569</xdr:colOff>
      <xdr:row>19</xdr:row>
      <xdr:rowOff>772886</xdr:rowOff>
    </xdr:from>
    <xdr:to>
      <xdr:col>4</xdr:col>
      <xdr:colOff>778968</xdr:colOff>
      <xdr:row>19</xdr:row>
      <xdr:rowOff>1205604</xdr:rowOff>
    </xdr:to>
    <xdr:grpSp>
      <xdr:nvGrpSpPr>
        <xdr:cNvPr id="196" name="Группа 195">
          <a:extLst>
            <a:ext uri="{FF2B5EF4-FFF2-40B4-BE49-F238E27FC236}">
              <a16:creationId xmlns:a16="http://schemas.microsoft.com/office/drawing/2014/main" xmlns="" id="{00000000-0008-0000-0600-000045000000}"/>
            </a:ext>
          </a:extLst>
        </xdr:cNvPr>
        <xdr:cNvGrpSpPr>
          <a:grpSpLocks noChangeAspect="1"/>
        </xdr:cNvGrpSpPr>
      </xdr:nvGrpSpPr>
      <xdr:grpSpPr>
        <a:xfrm>
          <a:off x="3748769" y="33691286"/>
          <a:ext cx="154399" cy="432718"/>
          <a:chOff x="635632" y="15053070"/>
          <a:chExt cx="102554" cy="297657"/>
        </a:xfrm>
      </xdr:grpSpPr>
      <xdr:sp macro="" textlink="">
        <xdr:nvSpPr>
          <xdr:cNvPr id="197" name="Прямоугольник 196">
            <a:extLst>
              <a:ext uri="{FF2B5EF4-FFF2-40B4-BE49-F238E27FC236}">
                <a16:creationId xmlns:a16="http://schemas.microsoft.com/office/drawing/2014/main" xmlns="" id="{00000000-0008-0000-0600-000046000000}"/>
              </a:ext>
            </a:extLst>
          </xdr:cNvPr>
          <xdr:cNvSpPr/>
        </xdr:nvSpPr>
        <xdr:spPr>
          <a:xfrm flipH="1">
            <a:off x="635632" y="15053070"/>
            <a:ext cx="102554" cy="297657"/>
          </a:xfrm>
          <a:prstGeom prst="rect">
            <a:avLst/>
          </a:prstGeom>
          <a:solidFill>
            <a:schemeClr val="tx1">
              <a:lumMod val="75000"/>
              <a:lumOff val="2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98" name="Овал 197">
            <a:extLst>
              <a:ext uri="{FF2B5EF4-FFF2-40B4-BE49-F238E27FC236}">
                <a16:creationId xmlns:a16="http://schemas.microsoft.com/office/drawing/2014/main" xmlns="" id="{00000000-0008-0000-0600-000047000000}"/>
              </a:ext>
            </a:extLst>
          </xdr:cNvPr>
          <xdr:cNvSpPr/>
        </xdr:nvSpPr>
        <xdr:spPr>
          <a:xfrm flipH="1">
            <a:off x="650305" y="15069367"/>
            <a:ext cx="73208" cy="73208"/>
          </a:xfrm>
          <a:prstGeom prst="ellipse">
            <a:avLst/>
          </a:prstGeom>
          <a:solidFill>
            <a:srgbClr val="FF000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99" name="Овал 198">
            <a:extLst>
              <a:ext uri="{FF2B5EF4-FFF2-40B4-BE49-F238E27FC236}">
                <a16:creationId xmlns:a16="http://schemas.microsoft.com/office/drawing/2014/main" xmlns="" id="{00000000-0008-0000-0600-000048000000}"/>
              </a:ext>
            </a:extLst>
          </xdr:cNvPr>
          <xdr:cNvSpPr/>
        </xdr:nvSpPr>
        <xdr:spPr>
          <a:xfrm flipH="1">
            <a:off x="650305" y="15165295"/>
            <a:ext cx="73208" cy="73208"/>
          </a:xfrm>
          <a:prstGeom prst="ellipse">
            <a:avLst/>
          </a:prstGeom>
          <a:solidFill>
            <a:srgbClr val="FFFF0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00" name="Овал 199">
            <a:extLst>
              <a:ext uri="{FF2B5EF4-FFF2-40B4-BE49-F238E27FC236}">
                <a16:creationId xmlns:a16="http://schemas.microsoft.com/office/drawing/2014/main" xmlns="" id="{00000000-0008-0000-0600-000049000000}"/>
              </a:ext>
            </a:extLst>
          </xdr:cNvPr>
          <xdr:cNvSpPr/>
        </xdr:nvSpPr>
        <xdr:spPr>
          <a:xfrm flipH="1">
            <a:off x="650305" y="15261223"/>
            <a:ext cx="73208" cy="73208"/>
          </a:xfrm>
          <a:prstGeom prst="ellipse">
            <a:avLst/>
          </a:prstGeom>
          <a:solidFill>
            <a:srgbClr val="00B05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638176</xdr:colOff>
      <xdr:row>20</xdr:row>
      <xdr:rowOff>813708</xdr:rowOff>
    </xdr:from>
    <xdr:to>
      <xdr:col>4</xdr:col>
      <xdr:colOff>792575</xdr:colOff>
      <xdr:row>20</xdr:row>
      <xdr:rowOff>1246426</xdr:rowOff>
    </xdr:to>
    <xdr:grpSp>
      <xdr:nvGrpSpPr>
        <xdr:cNvPr id="201" name="Группа 200">
          <a:extLst>
            <a:ext uri="{FF2B5EF4-FFF2-40B4-BE49-F238E27FC236}">
              <a16:creationId xmlns:a16="http://schemas.microsoft.com/office/drawing/2014/main" xmlns="" id="{00000000-0008-0000-0600-000045000000}"/>
            </a:ext>
          </a:extLst>
        </xdr:cNvPr>
        <xdr:cNvGrpSpPr>
          <a:grpSpLocks noChangeAspect="1"/>
        </xdr:cNvGrpSpPr>
      </xdr:nvGrpSpPr>
      <xdr:grpSpPr>
        <a:xfrm>
          <a:off x="3762376" y="35256108"/>
          <a:ext cx="154399" cy="432718"/>
          <a:chOff x="635632" y="15053070"/>
          <a:chExt cx="102554" cy="297657"/>
        </a:xfrm>
      </xdr:grpSpPr>
      <xdr:sp macro="" textlink="">
        <xdr:nvSpPr>
          <xdr:cNvPr id="202" name="Прямоугольник 201">
            <a:extLst>
              <a:ext uri="{FF2B5EF4-FFF2-40B4-BE49-F238E27FC236}">
                <a16:creationId xmlns:a16="http://schemas.microsoft.com/office/drawing/2014/main" xmlns="" id="{00000000-0008-0000-0600-000046000000}"/>
              </a:ext>
            </a:extLst>
          </xdr:cNvPr>
          <xdr:cNvSpPr/>
        </xdr:nvSpPr>
        <xdr:spPr>
          <a:xfrm flipH="1">
            <a:off x="635632" y="15053070"/>
            <a:ext cx="102554" cy="297657"/>
          </a:xfrm>
          <a:prstGeom prst="rect">
            <a:avLst/>
          </a:prstGeom>
          <a:solidFill>
            <a:schemeClr val="tx1">
              <a:lumMod val="75000"/>
              <a:lumOff val="2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03" name="Овал 202">
            <a:extLst>
              <a:ext uri="{FF2B5EF4-FFF2-40B4-BE49-F238E27FC236}">
                <a16:creationId xmlns:a16="http://schemas.microsoft.com/office/drawing/2014/main" xmlns="" id="{00000000-0008-0000-0600-000047000000}"/>
              </a:ext>
            </a:extLst>
          </xdr:cNvPr>
          <xdr:cNvSpPr/>
        </xdr:nvSpPr>
        <xdr:spPr>
          <a:xfrm flipH="1">
            <a:off x="650305" y="15069367"/>
            <a:ext cx="73208" cy="73208"/>
          </a:xfrm>
          <a:prstGeom prst="ellipse">
            <a:avLst/>
          </a:prstGeom>
          <a:solidFill>
            <a:srgbClr val="FF000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04" name="Овал 203">
            <a:extLst>
              <a:ext uri="{FF2B5EF4-FFF2-40B4-BE49-F238E27FC236}">
                <a16:creationId xmlns:a16="http://schemas.microsoft.com/office/drawing/2014/main" xmlns="" id="{00000000-0008-0000-0600-000048000000}"/>
              </a:ext>
            </a:extLst>
          </xdr:cNvPr>
          <xdr:cNvSpPr/>
        </xdr:nvSpPr>
        <xdr:spPr>
          <a:xfrm flipH="1">
            <a:off x="650305" y="15165295"/>
            <a:ext cx="73208" cy="73208"/>
          </a:xfrm>
          <a:prstGeom prst="ellipse">
            <a:avLst/>
          </a:prstGeom>
          <a:solidFill>
            <a:srgbClr val="FFFF0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05" name="Овал 204">
            <a:extLst>
              <a:ext uri="{FF2B5EF4-FFF2-40B4-BE49-F238E27FC236}">
                <a16:creationId xmlns:a16="http://schemas.microsoft.com/office/drawing/2014/main" xmlns="" id="{00000000-0008-0000-0600-000049000000}"/>
              </a:ext>
            </a:extLst>
          </xdr:cNvPr>
          <xdr:cNvSpPr/>
        </xdr:nvSpPr>
        <xdr:spPr>
          <a:xfrm flipH="1">
            <a:off x="650305" y="15261223"/>
            <a:ext cx="73208" cy="73208"/>
          </a:xfrm>
          <a:prstGeom prst="ellipse">
            <a:avLst/>
          </a:prstGeom>
          <a:solidFill>
            <a:srgbClr val="00B05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 editAs="oneCell">
    <xdr:from>
      <xdr:col>4</xdr:col>
      <xdr:colOff>40821</xdr:colOff>
      <xdr:row>10</xdr:row>
      <xdr:rowOff>244928</xdr:rowOff>
    </xdr:from>
    <xdr:to>
      <xdr:col>4</xdr:col>
      <xdr:colOff>599442</xdr:colOff>
      <xdr:row>10</xdr:row>
      <xdr:rowOff>784928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170464" y="13334999"/>
          <a:ext cx="558621" cy="5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40821</xdr:colOff>
      <xdr:row>11</xdr:row>
      <xdr:rowOff>285749</xdr:rowOff>
    </xdr:from>
    <xdr:to>
      <xdr:col>4</xdr:col>
      <xdr:colOff>599442</xdr:colOff>
      <xdr:row>11</xdr:row>
      <xdr:rowOff>825749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170464" y="16423820"/>
          <a:ext cx="558621" cy="5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1347107</xdr:colOff>
      <xdr:row>14</xdr:row>
      <xdr:rowOff>1251854</xdr:rowOff>
    </xdr:from>
    <xdr:to>
      <xdr:col>5</xdr:col>
      <xdr:colOff>517800</xdr:colOff>
      <xdr:row>14</xdr:row>
      <xdr:rowOff>1791854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76750" y="25009925"/>
          <a:ext cx="558621" cy="5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851648</xdr:colOff>
      <xdr:row>8</xdr:row>
      <xdr:rowOff>750795</xdr:rowOff>
    </xdr:from>
    <xdr:to>
      <xdr:col>4</xdr:col>
      <xdr:colOff>1115051</xdr:colOff>
      <xdr:row>8</xdr:row>
      <xdr:rowOff>1002795</xdr:rowOff>
    </xdr:to>
    <xdr:pic>
      <xdr:nvPicPr>
        <xdr:cNvPr id="208" name="Рисунок 207" descr="Картинки по запросу знак искусственная неровность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8089" y="10802471"/>
          <a:ext cx="263403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583406</xdr:colOff>
      <xdr:row>9</xdr:row>
      <xdr:rowOff>77391</xdr:rowOff>
    </xdr:from>
    <xdr:to>
      <xdr:col>4</xdr:col>
      <xdr:colOff>1012031</xdr:colOff>
      <xdr:row>9</xdr:row>
      <xdr:rowOff>702469</xdr:rowOff>
    </xdr:to>
    <xdr:sp macro="" textlink="">
      <xdr:nvSpPr>
        <xdr:cNvPr id="4" name="Полилиния 3"/>
        <xdr:cNvSpPr/>
      </xdr:nvSpPr>
      <xdr:spPr>
        <a:xfrm>
          <a:off x="3714750" y="11656219"/>
          <a:ext cx="428625" cy="625078"/>
        </a:xfrm>
        <a:custGeom>
          <a:avLst/>
          <a:gdLst>
            <a:gd name="connsiteX0" fmla="*/ 0 w 428625"/>
            <a:gd name="connsiteY0" fmla="*/ 625078 h 625078"/>
            <a:gd name="connsiteX1" fmla="*/ 160734 w 428625"/>
            <a:gd name="connsiteY1" fmla="*/ 625078 h 625078"/>
            <a:gd name="connsiteX2" fmla="*/ 428625 w 428625"/>
            <a:gd name="connsiteY2" fmla="*/ 0 h 625078"/>
            <a:gd name="connsiteX3" fmla="*/ 279797 w 428625"/>
            <a:gd name="connsiteY3" fmla="*/ 0 h 625078"/>
            <a:gd name="connsiteX4" fmla="*/ 0 w 428625"/>
            <a:gd name="connsiteY4" fmla="*/ 625078 h 6250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428625" h="625078">
              <a:moveTo>
                <a:pt x="0" y="625078"/>
              </a:moveTo>
              <a:lnTo>
                <a:pt x="160734" y="625078"/>
              </a:lnTo>
              <a:lnTo>
                <a:pt x="428625" y="0"/>
              </a:lnTo>
              <a:lnTo>
                <a:pt x="279797" y="0"/>
              </a:lnTo>
              <a:lnTo>
                <a:pt x="0" y="625078"/>
              </a:lnTo>
              <a:close/>
            </a:path>
          </a:pathLst>
        </a:custGeom>
        <a:solidFill>
          <a:schemeClr val="bg1">
            <a:lumMod val="85000"/>
          </a:schemeClr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1543707</xdr:colOff>
      <xdr:row>7</xdr:row>
      <xdr:rowOff>735724</xdr:rowOff>
    </xdr:from>
    <xdr:to>
      <xdr:col>4</xdr:col>
      <xdr:colOff>407276</xdr:colOff>
      <xdr:row>7</xdr:row>
      <xdr:rowOff>893380</xdr:rowOff>
    </xdr:to>
    <xdr:sp macro="" textlink="">
      <xdr:nvSpPr>
        <xdr:cNvPr id="5" name="Полилиния 4"/>
        <xdr:cNvSpPr/>
      </xdr:nvSpPr>
      <xdr:spPr>
        <a:xfrm>
          <a:off x="3080845" y="9262241"/>
          <a:ext cx="446690" cy="157656"/>
        </a:xfrm>
        <a:custGeom>
          <a:avLst/>
          <a:gdLst>
            <a:gd name="connsiteX0" fmla="*/ 0 w 446690"/>
            <a:gd name="connsiteY0" fmla="*/ 85397 h 157656"/>
            <a:gd name="connsiteX1" fmla="*/ 446690 w 446690"/>
            <a:gd name="connsiteY1" fmla="*/ 0 h 157656"/>
            <a:gd name="connsiteX2" fmla="*/ 446690 w 446690"/>
            <a:gd name="connsiteY2" fmla="*/ 78828 h 157656"/>
            <a:gd name="connsiteX3" fmla="*/ 0 w 446690"/>
            <a:gd name="connsiteY3" fmla="*/ 157656 h 157656"/>
            <a:gd name="connsiteX4" fmla="*/ 0 w 446690"/>
            <a:gd name="connsiteY4" fmla="*/ 85397 h 15765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446690" h="157656">
              <a:moveTo>
                <a:pt x="0" y="85397"/>
              </a:moveTo>
              <a:lnTo>
                <a:pt x="446690" y="0"/>
              </a:lnTo>
              <a:lnTo>
                <a:pt x="446690" y="78828"/>
              </a:lnTo>
              <a:lnTo>
                <a:pt x="0" y="157656"/>
              </a:lnTo>
              <a:lnTo>
                <a:pt x="0" y="85397"/>
              </a:lnTo>
              <a:close/>
            </a:path>
          </a:pathLst>
        </a:custGeom>
        <a:solidFill>
          <a:schemeClr val="bg1">
            <a:lumMod val="85000"/>
          </a:schemeClr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617482</xdr:colOff>
      <xdr:row>8</xdr:row>
      <xdr:rowOff>118242</xdr:rowOff>
    </xdr:from>
    <xdr:to>
      <xdr:col>4</xdr:col>
      <xdr:colOff>722586</xdr:colOff>
      <xdr:row>8</xdr:row>
      <xdr:rowOff>670035</xdr:rowOff>
    </xdr:to>
    <xdr:sp macro="" textlink="">
      <xdr:nvSpPr>
        <xdr:cNvPr id="6" name="Прямоугольник 5"/>
        <xdr:cNvSpPr/>
      </xdr:nvSpPr>
      <xdr:spPr>
        <a:xfrm>
          <a:off x="3737741" y="10168759"/>
          <a:ext cx="105104" cy="551793"/>
        </a:xfrm>
        <a:prstGeom prst="rect">
          <a:avLst/>
        </a:prstGeom>
        <a:solidFill>
          <a:schemeClr val="bg1">
            <a:lumMod val="85000"/>
          </a:schemeClr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617482</xdr:colOff>
      <xdr:row>8</xdr:row>
      <xdr:rowOff>775139</xdr:rowOff>
    </xdr:from>
    <xdr:to>
      <xdr:col>4</xdr:col>
      <xdr:colOff>722586</xdr:colOff>
      <xdr:row>8</xdr:row>
      <xdr:rowOff>1326932</xdr:rowOff>
    </xdr:to>
    <xdr:sp macro="" textlink="">
      <xdr:nvSpPr>
        <xdr:cNvPr id="210" name="Прямоугольник 209"/>
        <xdr:cNvSpPr/>
      </xdr:nvSpPr>
      <xdr:spPr>
        <a:xfrm>
          <a:off x="3737741" y="10825656"/>
          <a:ext cx="105104" cy="551793"/>
        </a:xfrm>
        <a:prstGeom prst="rect">
          <a:avLst/>
        </a:prstGeom>
        <a:solidFill>
          <a:schemeClr val="bg1">
            <a:lumMod val="85000"/>
          </a:schemeClr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556293</xdr:colOff>
      <xdr:row>5</xdr:row>
      <xdr:rowOff>301759</xdr:rowOff>
    </xdr:from>
    <xdr:to>
      <xdr:col>3</xdr:col>
      <xdr:colOff>1006011</xdr:colOff>
      <xdr:row>5</xdr:row>
      <xdr:rowOff>553759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96381" y="3125641"/>
          <a:ext cx="449718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1038225</xdr:colOff>
      <xdr:row>8</xdr:row>
      <xdr:rowOff>1061753</xdr:rowOff>
    </xdr:from>
    <xdr:to>
      <xdr:col>2</xdr:col>
      <xdr:colOff>1321371</xdr:colOff>
      <xdr:row>8</xdr:row>
      <xdr:rowOff>1313753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98284" y="8457635"/>
          <a:ext cx="283146" cy="252000"/>
        </a:xfrm>
        <a:prstGeom prst="rect">
          <a:avLst/>
        </a:prstGeom>
      </xdr:spPr>
    </xdr:pic>
    <xdr:clientData/>
  </xdr:twoCellAnchor>
  <xdr:twoCellAnchor editAs="oneCell">
    <xdr:from>
      <xdr:col>3</xdr:col>
      <xdr:colOff>1105381</xdr:colOff>
      <xdr:row>5</xdr:row>
      <xdr:rowOff>301759</xdr:rowOff>
    </xdr:from>
    <xdr:to>
      <xdr:col>3</xdr:col>
      <xdr:colOff>1555099</xdr:colOff>
      <xdr:row>5</xdr:row>
      <xdr:rowOff>553759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45469" y="3125641"/>
          <a:ext cx="449718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874058</xdr:colOff>
      <xdr:row>4</xdr:row>
      <xdr:rowOff>773206</xdr:rowOff>
    </xdr:from>
    <xdr:to>
      <xdr:col>2</xdr:col>
      <xdr:colOff>1126502</xdr:colOff>
      <xdr:row>4</xdr:row>
      <xdr:rowOff>1025206</xdr:rowOff>
    </xdr:to>
    <xdr:pic>
      <xdr:nvPicPr>
        <xdr:cNvPr id="133" name="Рисунок 13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4117" y="2073088"/>
          <a:ext cx="252444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840445</xdr:colOff>
      <xdr:row>8</xdr:row>
      <xdr:rowOff>794107</xdr:rowOff>
    </xdr:from>
    <xdr:to>
      <xdr:col>1</xdr:col>
      <xdr:colOff>1091555</xdr:colOff>
      <xdr:row>8</xdr:row>
      <xdr:rowOff>1046107</xdr:rowOff>
    </xdr:to>
    <xdr:pic>
      <xdr:nvPicPr>
        <xdr:cNvPr id="128" name="Рисунок 127" descr="Картинки по запросу знак поворот направо запрещен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1595" y="8175982"/>
          <a:ext cx="25111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819150</xdr:colOff>
      <xdr:row>7</xdr:row>
      <xdr:rowOff>733425</xdr:rowOff>
    </xdr:from>
    <xdr:to>
      <xdr:col>0</xdr:col>
      <xdr:colOff>1181100</xdr:colOff>
      <xdr:row>7</xdr:row>
      <xdr:rowOff>1095375</xdr:rowOff>
    </xdr:to>
    <xdr:pic>
      <xdr:nvPicPr>
        <xdr:cNvPr id="57" name="Рисунок 56" descr="Картинки по запросу знак конец главной дороги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6591300"/>
          <a:ext cx="36195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322854</xdr:colOff>
      <xdr:row>0</xdr:row>
      <xdr:rowOff>111040</xdr:rowOff>
    </xdr:from>
    <xdr:to>
      <xdr:col>0</xdr:col>
      <xdr:colOff>1250222</xdr:colOff>
      <xdr:row>2</xdr:row>
      <xdr:rowOff>106091</xdr:rowOff>
    </xdr:to>
    <xdr:pic>
      <xdr:nvPicPr>
        <xdr:cNvPr id="309" name="Рисунок 30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54" y="111040"/>
          <a:ext cx="927368" cy="430480"/>
        </a:xfrm>
        <a:prstGeom prst="rect">
          <a:avLst/>
        </a:prstGeom>
      </xdr:spPr>
    </xdr:pic>
    <xdr:clientData/>
  </xdr:twoCellAnchor>
  <xdr:twoCellAnchor>
    <xdr:from>
      <xdr:col>1</xdr:col>
      <xdr:colOff>797676</xdr:colOff>
      <xdr:row>6</xdr:row>
      <xdr:rowOff>1342609</xdr:rowOff>
    </xdr:from>
    <xdr:to>
      <xdr:col>1</xdr:col>
      <xdr:colOff>872989</xdr:colOff>
      <xdr:row>6</xdr:row>
      <xdr:rowOff>1414609</xdr:rowOff>
    </xdr:to>
    <xdr:sp macro="" textlink="">
      <xdr:nvSpPr>
        <xdr:cNvPr id="340" name="Овал 339">
          <a:extLst>
            <a:ext uri="{FF2B5EF4-FFF2-40B4-BE49-F238E27FC236}">
              <a16:creationId xmlns:a16="http://schemas.microsoft.com/office/drawing/2014/main" xmlns="" id="{00000000-0008-0000-0900-00003D020000}"/>
            </a:ext>
          </a:extLst>
        </xdr:cNvPr>
        <xdr:cNvSpPr/>
      </xdr:nvSpPr>
      <xdr:spPr>
        <a:xfrm>
          <a:off x="2377705" y="5690491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827087</xdr:colOff>
      <xdr:row>6</xdr:row>
      <xdr:rowOff>68036</xdr:rowOff>
    </xdr:from>
    <xdr:to>
      <xdr:col>1</xdr:col>
      <xdr:colOff>827087</xdr:colOff>
      <xdr:row>6</xdr:row>
      <xdr:rowOff>1396846</xdr:rowOff>
    </xdr:to>
    <xdr:cxnSp macro="">
      <xdr:nvCxnSpPr>
        <xdr:cNvPr id="341" name="Прямая со стрелкой 340">
          <a:extLst>
            <a:ext uri="{FF2B5EF4-FFF2-40B4-BE49-F238E27FC236}">
              <a16:creationId xmlns:a16="http://schemas.microsoft.com/office/drawing/2014/main" xmlns="" id="{00000000-0008-0000-0900-00003B020000}"/>
            </a:ext>
          </a:extLst>
        </xdr:cNvPr>
        <xdr:cNvCxnSpPr/>
      </xdr:nvCxnSpPr>
      <xdr:spPr>
        <a:xfrm flipV="1">
          <a:off x="2407116" y="4415918"/>
          <a:ext cx="0" cy="1328810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828596</xdr:colOff>
      <xdr:row>6</xdr:row>
      <xdr:rowOff>727834</xdr:rowOff>
    </xdr:from>
    <xdr:to>
      <xdr:col>1</xdr:col>
      <xdr:colOff>1479177</xdr:colOff>
      <xdr:row>6</xdr:row>
      <xdr:rowOff>727834</xdr:rowOff>
    </xdr:to>
    <xdr:cxnSp macro="">
      <xdr:nvCxnSpPr>
        <xdr:cNvPr id="342" name="Прямая со стрелкой 341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>
          <a:off x="2408625" y="5075716"/>
          <a:ext cx="650581" cy="0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896545</xdr:colOff>
      <xdr:row>6</xdr:row>
      <xdr:rowOff>757197</xdr:rowOff>
    </xdr:from>
    <xdr:to>
      <xdr:col>1</xdr:col>
      <xdr:colOff>1050944</xdr:colOff>
      <xdr:row>6</xdr:row>
      <xdr:rowOff>1189915</xdr:rowOff>
    </xdr:to>
    <xdr:grpSp>
      <xdr:nvGrpSpPr>
        <xdr:cNvPr id="344" name="Группа 343">
          <a:extLst>
            <a:ext uri="{FF2B5EF4-FFF2-40B4-BE49-F238E27FC236}">
              <a16:creationId xmlns:a16="http://schemas.microsoft.com/office/drawing/2014/main" xmlns="" id="{00000000-0008-0000-0600-000045000000}"/>
            </a:ext>
          </a:extLst>
        </xdr:cNvPr>
        <xdr:cNvGrpSpPr>
          <a:grpSpLocks noChangeAspect="1"/>
        </xdr:cNvGrpSpPr>
      </xdr:nvGrpSpPr>
      <xdr:grpSpPr>
        <a:xfrm>
          <a:off x="2477695" y="5986422"/>
          <a:ext cx="154399" cy="432718"/>
          <a:chOff x="635632" y="15053070"/>
          <a:chExt cx="102554" cy="297657"/>
        </a:xfrm>
      </xdr:grpSpPr>
      <xdr:sp macro="" textlink="">
        <xdr:nvSpPr>
          <xdr:cNvPr id="345" name="Прямоугольник 344">
            <a:extLst>
              <a:ext uri="{FF2B5EF4-FFF2-40B4-BE49-F238E27FC236}">
                <a16:creationId xmlns:a16="http://schemas.microsoft.com/office/drawing/2014/main" xmlns="" id="{00000000-0008-0000-0600-000046000000}"/>
              </a:ext>
            </a:extLst>
          </xdr:cNvPr>
          <xdr:cNvSpPr/>
        </xdr:nvSpPr>
        <xdr:spPr>
          <a:xfrm flipH="1">
            <a:off x="635632" y="15053070"/>
            <a:ext cx="102554" cy="297657"/>
          </a:xfrm>
          <a:prstGeom prst="rect">
            <a:avLst/>
          </a:prstGeom>
          <a:solidFill>
            <a:schemeClr val="tx1">
              <a:lumMod val="75000"/>
              <a:lumOff val="2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46" name="Овал 345">
            <a:extLst>
              <a:ext uri="{FF2B5EF4-FFF2-40B4-BE49-F238E27FC236}">
                <a16:creationId xmlns:a16="http://schemas.microsoft.com/office/drawing/2014/main" xmlns="" id="{00000000-0008-0000-0600-000047000000}"/>
              </a:ext>
            </a:extLst>
          </xdr:cNvPr>
          <xdr:cNvSpPr/>
        </xdr:nvSpPr>
        <xdr:spPr>
          <a:xfrm flipH="1">
            <a:off x="650305" y="15069367"/>
            <a:ext cx="73208" cy="73208"/>
          </a:xfrm>
          <a:prstGeom prst="ellipse">
            <a:avLst/>
          </a:prstGeom>
          <a:solidFill>
            <a:srgbClr val="FF000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47" name="Овал 346">
            <a:extLst>
              <a:ext uri="{FF2B5EF4-FFF2-40B4-BE49-F238E27FC236}">
                <a16:creationId xmlns:a16="http://schemas.microsoft.com/office/drawing/2014/main" xmlns="" id="{00000000-0008-0000-0600-000048000000}"/>
              </a:ext>
            </a:extLst>
          </xdr:cNvPr>
          <xdr:cNvSpPr/>
        </xdr:nvSpPr>
        <xdr:spPr>
          <a:xfrm flipH="1">
            <a:off x="650305" y="15165295"/>
            <a:ext cx="73208" cy="73208"/>
          </a:xfrm>
          <a:prstGeom prst="ellipse">
            <a:avLst/>
          </a:prstGeom>
          <a:solidFill>
            <a:srgbClr val="FFFF0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48" name="Овал 347">
            <a:extLst>
              <a:ext uri="{FF2B5EF4-FFF2-40B4-BE49-F238E27FC236}">
                <a16:creationId xmlns:a16="http://schemas.microsoft.com/office/drawing/2014/main" xmlns="" id="{00000000-0008-0000-0600-000049000000}"/>
              </a:ext>
            </a:extLst>
          </xdr:cNvPr>
          <xdr:cNvSpPr/>
        </xdr:nvSpPr>
        <xdr:spPr>
          <a:xfrm flipH="1">
            <a:off x="650305" y="15261223"/>
            <a:ext cx="73208" cy="73208"/>
          </a:xfrm>
          <a:prstGeom prst="ellipse">
            <a:avLst/>
          </a:prstGeom>
          <a:solidFill>
            <a:srgbClr val="00B05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0</xdr:col>
      <xdr:colOff>794268</xdr:colOff>
      <xdr:row>4</xdr:row>
      <xdr:rowOff>1392304</xdr:rowOff>
    </xdr:from>
    <xdr:to>
      <xdr:col>0</xdr:col>
      <xdr:colOff>869581</xdr:colOff>
      <xdr:row>4</xdr:row>
      <xdr:rowOff>1464304</xdr:rowOff>
    </xdr:to>
    <xdr:sp macro="" textlink="">
      <xdr:nvSpPr>
        <xdr:cNvPr id="350" name="Овал 349">
          <a:extLst>
            <a:ext uri="{FF2B5EF4-FFF2-40B4-BE49-F238E27FC236}">
              <a16:creationId xmlns:a16="http://schemas.microsoft.com/office/drawing/2014/main" xmlns="" id="{00000000-0008-0000-0900-00003D020000}"/>
            </a:ext>
          </a:extLst>
        </xdr:cNvPr>
        <xdr:cNvSpPr/>
      </xdr:nvSpPr>
      <xdr:spPr>
        <a:xfrm>
          <a:off x="794268" y="2692186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823679</xdr:colOff>
      <xdr:row>4</xdr:row>
      <xdr:rowOff>117731</xdr:rowOff>
    </xdr:from>
    <xdr:to>
      <xdr:col>0</xdr:col>
      <xdr:colOff>823679</xdr:colOff>
      <xdr:row>4</xdr:row>
      <xdr:rowOff>1446541</xdr:rowOff>
    </xdr:to>
    <xdr:cxnSp macro="">
      <xdr:nvCxnSpPr>
        <xdr:cNvPr id="351" name="Прямая со стрелкой 350">
          <a:extLst>
            <a:ext uri="{FF2B5EF4-FFF2-40B4-BE49-F238E27FC236}">
              <a16:creationId xmlns:a16="http://schemas.microsoft.com/office/drawing/2014/main" xmlns="" id="{00000000-0008-0000-0900-00003B020000}"/>
            </a:ext>
          </a:extLst>
        </xdr:cNvPr>
        <xdr:cNvCxnSpPr/>
      </xdr:nvCxnSpPr>
      <xdr:spPr>
        <a:xfrm flipV="1">
          <a:off x="823679" y="1417613"/>
          <a:ext cx="0" cy="1328810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145676</xdr:colOff>
      <xdr:row>4</xdr:row>
      <xdr:rowOff>777529</xdr:rowOff>
    </xdr:from>
    <xdr:to>
      <xdr:col>0</xdr:col>
      <xdr:colOff>818249</xdr:colOff>
      <xdr:row>4</xdr:row>
      <xdr:rowOff>777529</xdr:rowOff>
    </xdr:to>
    <xdr:cxnSp macro="">
      <xdr:nvCxnSpPr>
        <xdr:cNvPr id="352" name="Прямая со стрелкой 351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>
          <a:off x="145676" y="2077411"/>
          <a:ext cx="672573" cy="0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786468</xdr:colOff>
      <xdr:row>7</xdr:row>
      <xdr:rowOff>1353815</xdr:rowOff>
    </xdr:from>
    <xdr:to>
      <xdr:col>0</xdr:col>
      <xdr:colOff>861781</xdr:colOff>
      <xdr:row>7</xdr:row>
      <xdr:rowOff>1425815</xdr:rowOff>
    </xdr:to>
    <xdr:sp macro="" textlink="">
      <xdr:nvSpPr>
        <xdr:cNvPr id="369" name="Овал 368">
          <a:extLst>
            <a:ext uri="{FF2B5EF4-FFF2-40B4-BE49-F238E27FC236}">
              <a16:creationId xmlns:a16="http://schemas.microsoft.com/office/drawing/2014/main" xmlns="" id="{00000000-0008-0000-0900-00003D020000}"/>
            </a:ext>
          </a:extLst>
        </xdr:cNvPr>
        <xdr:cNvSpPr/>
      </xdr:nvSpPr>
      <xdr:spPr>
        <a:xfrm>
          <a:off x="786468" y="7225697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815879</xdr:colOff>
      <xdr:row>7</xdr:row>
      <xdr:rowOff>79242</xdr:rowOff>
    </xdr:from>
    <xdr:to>
      <xdr:col>0</xdr:col>
      <xdr:colOff>815879</xdr:colOff>
      <xdr:row>7</xdr:row>
      <xdr:rowOff>1408052</xdr:rowOff>
    </xdr:to>
    <xdr:cxnSp macro="">
      <xdr:nvCxnSpPr>
        <xdr:cNvPr id="370" name="Прямая со стрелкой 369">
          <a:extLst>
            <a:ext uri="{FF2B5EF4-FFF2-40B4-BE49-F238E27FC236}">
              <a16:creationId xmlns:a16="http://schemas.microsoft.com/office/drawing/2014/main" xmlns="" id="{00000000-0008-0000-0900-00003B020000}"/>
            </a:ext>
          </a:extLst>
        </xdr:cNvPr>
        <xdr:cNvCxnSpPr/>
      </xdr:nvCxnSpPr>
      <xdr:spPr>
        <a:xfrm flipV="1">
          <a:off x="815879" y="5951124"/>
          <a:ext cx="0" cy="1328810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821121</xdr:colOff>
      <xdr:row>7</xdr:row>
      <xdr:rowOff>262759</xdr:rowOff>
    </xdr:from>
    <xdr:to>
      <xdr:col>0</xdr:col>
      <xdr:colOff>1491155</xdr:colOff>
      <xdr:row>7</xdr:row>
      <xdr:rowOff>739040</xdr:rowOff>
    </xdr:to>
    <xdr:cxnSp macro="">
      <xdr:nvCxnSpPr>
        <xdr:cNvPr id="371" name="Прямая со стрелкой 370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 flipV="1">
          <a:off x="821121" y="6115707"/>
          <a:ext cx="670034" cy="476281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820087</xdr:colOff>
      <xdr:row>6</xdr:row>
      <xdr:rowOff>1331403</xdr:rowOff>
    </xdr:from>
    <xdr:to>
      <xdr:col>2</xdr:col>
      <xdr:colOff>895400</xdr:colOff>
      <xdr:row>6</xdr:row>
      <xdr:rowOff>1403403</xdr:rowOff>
    </xdr:to>
    <xdr:sp macro="" textlink="">
      <xdr:nvSpPr>
        <xdr:cNvPr id="377" name="Овал 376">
          <a:extLst>
            <a:ext uri="{FF2B5EF4-FFF2-40B4-BE49-F238E27FC236}">
              <a16:creationId xmlns:a16="http://schemas.microsoft.com/office/drawing/2014/main" xmlns="" id="{00000000-0008-0000-0900-00003D020000}"/>
            </a:ext>
          </a:extLst>
        </xdr:cNvPr>
        <xdr:cNvSpPr/>
      </xdr:nvSpPr>
      <xdr:spPr>
        <a:xfrm>
          <a:off x="3980146" y="4155285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849498</xdr:colOff>
      <xdr:row>6</xdr:row>
      <xdr:rowOff>56830</xdr:rowOff>
    </xdr:from>
    <xdr:to>
      <xdr:col>2</xdr:col>
      <xdr:colOff>849498</xdr:colOff>
      <xdr:row>6</xdr:row>
      <xdr:rowOff>1385640</xdr:rowOff>
    </xdr:to>
    <xdr:cxnSp macro="">
      <xdr:nvCxnSpPr>
        <xdr:cNvPr id="378" name="Прямая со стрелкой 377">
          <a:extLst>
            <a:ext uri="{FF2B5EF4-FFF2-40B4-BE49-F238E27FC236}">
              <a16:creationId xmlns:a16="http://schemas.microsoft.com/office/drawing/2014/main" xmlns="" id="{00000000-0008-0000-0900-00003B020000}"/>
            </a:ext>
          </a:extLst>
        </xdr:cNvPr>
        <xdr:cNvCxnSpPr/>
      </xdr:nvCxnSpPr>
      <xdr:spPr>
        <a:xfrm flipV="1">
          <a:off x="4009557" y="2880712"/>
          <a:ext cx="0" cy="1328810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180975</xdr:colOff>
      <xdr:row>6</xdr:row>
      <xdr:rowOff>87086</xdr:rowOff>
    </xdr:from>
    <xdr:to>
      <xdr:col>2</xdr:col>
      <xdr:colOff>851649</xdr:colOff>
      <xdr:row>6</xdr:row>
      <xdr:rowOff>689414</xdr:rowOff>
    </xdr:to>
    <xdr:cxnSp macro="">
      <xdr:nvCxnSpPr>
        <xdr:cNvPr id="379" name="Прямая со стрелкой 378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 flipH="1" flipV="1">
          <a:off x="3337832" y="2890157"/>
          <a:ext cx="670674" cy="602328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839801</xdr:colOff>
      <xdr:row>6</xdr:row>
      <xdr:rowOff>771056</xdr:rowOff>
    </xdr:from>
    <xdr:to>
      <xdr:col>2</xdr:col>
      <xdr:colOff>1400175</xdr:colOff>
      <xdr:row>6</xdr:row>
      <xdr:rowOff>1264103</xdr:rowOff>
    </xdr:to>
    <xdr:cxnSp macro="">
      <xdr:nvCxnSpPr>
        <xdr:cNvPr id="385" name="Прямая со стрелкой 384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>
          <a:off x="3996658" y="3574127"/>
          <a:ext cx="560374" cy="493047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840440</xdr:colOff>
      <xdr:row>4</xdr:row>
      <xdr:rowOff>777529</xdr:rowOff>
    </xdr:from>
    <xdr:to>
      <xdr:col>0</xdr:col>
      <xdr:colOff>1187824</xdr:colOff>
      <xdr:row>4</xdr:row>
      <xdr:rowOff>777529</xdr:rowOff>
    </xdr:to>
    <xdr:cxnSp macro="">
      <xdr:nvCxnSpPr>
        <xdr:cNvPr id="44" name="Прямая со стрелкой 43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>
          <a:off x="840440" y="2077411"/>
          <a:ext cx="347384" cy="0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1177812</xdr:colOff>
      <xdr:row>4</xdr:row>
      <xdr:rowOff>603924</xdr:rowOff>
    </xdr:from>
    <xdr:to>
      <xdr:col>0</xdr:col>
      <xdr:colOff>1226173</xdr:colOff>
      <xdr:row>4</xdr:row>
      <xdr:rowOff>901204</xdr:rowOff>
    </xdr:to>
    <xdr:grpSp>
      <xdr:nvGrpSpPr>
        <xdr:cNvPr id="51" name="Группа 50">
          <a:extLst>
            <a:ext uri="{FF2B5EF4-FFF2-40B4-BE49-F238E27FC236}">
              <a16:creationId xmlns:a16="http://schemas.microsoft.com/office/drawing/2014/main" xmlns="" id="{00000000-0008-0000-0600-000059000000}"/>
            </a:ext>
          </a:extLst>
        </xdr:cNvPr>
        <xdr:cNvGrpSpPr/>
      </xdr:nvGrpSpPr>
      <xdr:grpSpPr>
        <a:xfrm rot="5400000" flipH="1">
          <a:off x="1053353" y="2909608"/>
          <a:ext cx="297280" cy="48361"/>
          <a:chOff x="797664" y="5410936"/>
          <a:chExt cx="297280" cy="48361"/>
        </a:xfrm>
      </xdr:grpSpPr>
      <xdr:sp macro="" textlink="">
        <xdr:nvSpPr>
          <xdr:cNvPr id="52" name="Овал 51">
            <a:extLst>
              <a:ext uri="{FF2B5EF4-FFF2-40B4-BE49-F238E27FC236}">
                <a16:creationId xmlns:a16="http://schemas.microsoft.com/office/drawing/2014/main" xmlns="" id="{00000000-0008-0000-0600-000043000000}"/>
              </a:ext>
            </a:extLst>
          </xdr:cNvPr>
          <xdr:cNvSpPr/>
        </xdr:nvSpPr>
        <xdr:spPr>
          <a:xfrm>
            <a:off x="1048144" y="5410936"/>
            <a:ext cx="46800" cy="48361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53" name="Прямая со стрелкой 52">
            <a:extLst>
              <a:ext uri="{FF2B5EF4-FFF2-40B4-BE49-F238E27FC236}">
                <a16:creationId xmlns:a16="http://schemas.microsoft.com/office/drawing/2014/main" xmlns="" id="{00000000-0008-0000-0600-000044000000}"/>
              </a:ext>
            </a:extLst>
          </xdr:cNvPr>
          <xdr:cNvCxnSpPr/>
        </xdr:nvCxnSpPr>
        <xdr:spPr>
          <a:xfrm flipH="1">
            <a:off x="797664" y="5438739"/>
            <a:ext cx="246210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830037</xdr:colOff>
      <xdr:row>4</xdr:row>
      <xdr:rowOff>807726</xdr:rowOff>
    </xdr:from>
    <xdr:to>
      <xdr:col>0</xdr:col>
      <xdr:colOff>1088666</xdr:colOff>
      <xdr:row>4</xdr:row>
      <xdr:rowOff>1066799</xdr:rowOff>
    </xdr:to>
    <xdr:pic>
      <xdr:nvPicPr>
        <xdr:cNvPr id="54" name="Рисунок 53" descr="Картинки по запросу знак больница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037" y="2092240"/>
          <a:ext cx="258629" cy="2590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776654</xdr:colOff>
      <xdr:row>4</xdr:row>
      <xdr:rowOff>710711</xdr:rowOff>
    </xdr:from>
    <xdr:to>
      <xdr:col>3</xdr:col>
      <xdr:colOff>1171449</xdr:colOff>
      <xdr:row>4</xdr:row>
      <xdr:rowOff>1071472</xdr:rowOff>
    </xdr:to>
    <xdr:pic>
      <xdr:nvPicPr>
        <xdr:cNvPr id="55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1940" y="8085782"/>
          <a:ext cx="394795" cy="3607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775263</xdr:colOff>
      <xdr:row>4</xdr:row>
      <xdr:rowOff>1353815</xdr:rowOff>
    </xdr:from>
    <xdr:to>
      <xdr:col>3</xdr:col>
      <xdr:colOff>850576</xdr:colOff>
      <xdr:row>4</xdr:row>
      <xdr:rowOff>1425815</xdr:rowOff>
    </xdr:to>
    <xdr:sp macro="" textlink="">
      <xdr:nvSpPr>
        <xdr:cNvPr id="358" name="Овал 357">
          <a:extLst>
            <a:ext uri="{FF2B5EF4-FFF2-40B4-BE49-F238E27FC236}">
              <a16:creationId xmlns:a16="http://schemas.microsoft.com/office/drawing/2014/main" xmlns="" id="{00000000-0008-0000-0900-00003D020000}"/>
            </a:ext>
          </a:extLst>
        </xdr:cNvPr>
        <xdr:cNvSpPr/>
      </xdr:nvSpPr>
      <xdr:spPr>
        <a:xfrm>
          <a:off x="5510549" y="8728886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804674</xdr:colOff>
      <xdr:row>4</xdr:row>
      <xdr:rowOff>79242</xdr:rowOff>
    </xdr:from>
    <xdr:to>
      <xdr:col>3</xdr:col>
      <xdr:colOff>804674</xdr:colOff>
      <xdr:row>4</xdr:row>
      <xdr:rowOff>1408052</xdr:rowOff>
    </xdr:to>
    <xdr:cxnSp macro="">
      <xdr:nvCxnSpPr>
        <xdr:cNvPr id="359" name="Прямая со стрелкой 358">
          <a:extLst>
            <a:ext uri="{FF2B5EF4-FFF2-40B4-BE49-F238E27FC236}">
              <a16:creationId xmlns:a16="http://schemas.microsoft.com/office/drawing/2014/main" xmlns="" id="{00000000-0008-0000-0900-00003B020000}"/>
            </a:ext>
          </a:extLst>
        </xdr:cNvPr>
        <xdr:cNvCxnSpPr/>
      </xdr:nvCxnSpPr>
      <xdr:spPr>
        <a:xfrm flipV="1">
          <a:off x="5539960" y="7454313"/>
          <a:ext cx="0" cy="1328810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66595</xdr:colOff>
      <xdr:row>4</xdr:row>
      <xdr:rowOff>739040</xdr:rowOff>
    </xdr:from>
    <xdr:to>
      <xdr:col>3</xdr:col>
      <xdr:colOff>1501588</xdr:colOff>
      <xdr:row>4</xdr:row>
      <xdr:rowOff>739040</xdr:rowOff>
    </xdr:to>
    <xdr:cxnSp macro="">
      <xdr:nvCxnSpPr>
        <xdr:cNvPr id="360" name="Прямая со стрелкой 359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>
          <a:off x="4801881" y="8114111"/>
          <a:ext cx="1434993" cy="0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842598</xdr:colOff>
      <xdr:row>4</xdr:row>
      <xdr:rowOff>1055075</xdr:rowOff>
    </xdr:from>
    <xdr:to>
      <xdr:col>3</xdr:col>
      <xdr:colOff>1094016</xdr:colOff>
      <xdr:row>4</xdr:row>
      <xdr:rowOff>1307075</xdr:rowOff>
    </xdr:to>
    <xdr:pic>
      <xdr:nvPicPr>
        <xdr:cNvPr id="56" name="Рисунок 55" descr="Картинки по запросу знак движение грузовым запрещено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7884" y="8430146"/>
          <a:ext cx="251418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847725</xdr:colOff>
      <xdr:row>7</xdr:row>
      <xdr:rowOff>1095374</xdr:rowOff>
    </xdr:from>
    <xdr:to>
      <xdr:col>0</xdr:col>
      <xdr:colOff>1130871</xdr:colOff>
      <xdr:row>7</xdr:row>
      <xdr:rowOff>1347374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725" y="6953249"/>
          <a:ext cx="283146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888129</xdr:colOff>
      <xdr:row>6</xdr:row>
      <xdr:rowOff>1052955</xdr:rowOff>
    </xdr:from>
    <xdr:to>
      <xdr:col>2</xdr:col>
      <xdr:colOff>1140217</xdr:colOff>
      <xdr:row>6</xdr:row>
      <xdr:rowOff>1304955</xdr:rowOff>
    </xdr:to>
    <xdr:pic>
      <xdr:nvPicPr>
        <xdr:cNvPr id="60" name="Рисунок 59" descr="Картинки по запросу знак движение запрещено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4986" y="3856026"/>
          <a:ext cx="252088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381000</xdr:colOff>
      <xdr:row>5</xdr:row>
      <xdr:rowOff>112059</xdr:rowOff>
    </xdr:from>
    <xdr:to>
      <xdr:col>3</xdr:col>
      <xdr:colOff>825369</xdr:colOff>
      <xdr:row>5</xdr:row>
      <xdr:rowOff>1205802</xdr:rowOff>
    </xdr:to>
    <xdr:cxnSp macro="">
      <xdr:nvCxnSpPr>
        <xdr:cNvPr id="119" name="Прямая со стрелкой 118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 flipV="1">
          <a:off x="5121088" y="2935941"/>
          <a:ext cx="444369" cy="1093743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794021</xdr:colOff>
      <xdr:row>5</xdr:row>
      <xdr:rowOff>1365983</xdr:rowOff>
    </xdr:from>
    <xdr:to>
      <xdr:col>3</xdr:col>
      <xdr:colOff>866021</xdr:colOff>
      <xdr:row>5</xdr:row>
      <xdr:rowOff>1437983</xdr:rowOff>
    </xdr:to>
    <xdr:sp macro="" textlink="">
      <xdr:nvSpPr>
        <xdr:cNvPr id="120" name="Овал 119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 rot="6648108">
          <a:off x="5534109" y="4189865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830002</xdr:colOff>
      <xdr:row>5</xdr:row>
      <xdr:rowOff>100853</xdr:rowOff>
    </xdr:from>
    <xdr:to>
      <xdr:col>3</xdr:col>
      <xdr:colOff>1187824</xdr:colOff>
      <xdr:row>5</xdr:row>
      <xdr:rowOff>1204756</xdr:rowOff>
    </xdr:to>
    <xdr:cxnSp macro="">
      <xdr:nvCxnSpPr>
        <xdr:cNvPr id="121" name="Прямая со стрелкой 120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5570090" y="2924735"/>
          <a:ext cx="357822" cy="1103903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302602</xdr:colOff>
      <xdr:row>8</xdr:row>
      <xdr:rowOff>131669</xdr:rowOff>
    </xdr:from>
    <xdr:to>
      <xdr:col>1</xdr:col>
      <xdr:colOff>808140</xdr:colOff>
      <xdr:row>8</xdr:row>
      <xdr:rowOff>649941</xdr:rowOff>
    </xdr:to>
    <xdr:cxnSp macro="">
      <xdr:nvCxnSpPr>
        <xdr:cNvPr id="122" name="Прямая со стрелкой 121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 flipV="1">
          <a:off x="1882631" y="7527551"/>
          <a:ext cx="505538" cy="518272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778490</xdr:colOff>
      <xdr:row>8</xdr:row>
      <xdr:rowOff>1349839</xdr:rowOff>
    </xdr:from>
    <xdr:to>
      <xdr:col>1</xdr:col>
      <xdr:colOff>850490</xdr:colOff>
      <xdr:row>8</xdr:row>
      <xdr:rowOff>1421839</xdr:rowOff>
    </xdr:to>
    <xdr:sp macro="" textlink="">
      <xdr:nvSpPr>
        <xdr:cNvPr id="123" name="Овал 122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 rot="6648108">
          <a:off x="2358519" y="8745721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813185</xdr:colOff>
      <xdr:row>8</xdr:row>
      <xdr:rowOff>112058</xdr:rowOff>
    </xdr:from>
    <xdr:to>
      <xdr:col>1</xdr:col>
      <xdr:colOff>813185</xdr:colOff>
      <xdr:row>8</xdr:row>
      <xdr:rowOff>1375525</xdr:rowOff>
    </xdr:to>
    <xdr:cxnSp macro="">
      <xdr:nvCxnSpPr>
        <xdr:cNvPr id="124" name="Прямая со стрелкой 123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393214" y="7507940"/>
          <a:ext cx="0" cy="126346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812019</xdr:colOff>
      <xdr:row>8</xdr:row>
      <xdr:rowOff>161624</xdr:rowOff>
    </xdr:from>
    <xdr:to>
      <xdr:col>1</xdr:col>
      <xdr:colOff>1230923</xdr:colOff>
      <xdr:row>8</xdr:row>
      <xdr:rowOff>683560</xdr:rowOff>
    </xdr:to>
    <xdr:cxnSp macro="">
      <xdr:nvCxnSpPr>
        <xdr:cNvPr id="125" name="Прямая со стрелкой 124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392048" y="7557506"/>
          <a:ext cx="418904" cy="521936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361950</xdr:colOff>
      <xdr:row>8</xdr:row>
      <xdr:rowOff>829235</xdr:rowOff>
    </xdr:from>
    <xdr:to>
      <xdr:col>1</xdr:col>
      <xdr:colOff>814420</xdr:colOff>
      <xdr:row>8</xdr:row>
      <xdr:rowOff>1333500</xdr:rowOff>
    </xdr:to>
    <xdr:cxnSp macro="">
      <xdr:nvCxnSpPr>
        <xdr:cNvPr id="126" name="Прямая со стрелкой 12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>
          <a:off x="1943100" y="8211110"/>
          <a:ext cx="452470" cy="504265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896475</xdr:colOff>
      <xdr:row>6</xdr:row>
      <xdr:rowOff>1094831</xdr:rowOff>
    </xdr:from>
    <xdr:to>
      <xdr:col>3</xdr:col>
      <xdr:colOff>1159878</xdr:colOff>
      <xdr:row>6</xdr:row>
      <xdr:rowOff>1346831</xdr:rowOff>
    </xdr:to>
    <xdr:pic>
      <xdr:nvPicPr>
        <xdr:cNvPr id="129" name="Рисунок 128" descr="Картинки по запросу знак искусственная неровность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6563" y="5442713"/>
          <a:ext cx="263403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771856</xdr:colOff>
      <xdr:row>6</xdr:row>
      <xdr:rowOff>1386632</xdr:rowOff>
    </xdr:from>
    <xdr:to>
      <xdr:col>3</xdr:col>
      <xdr:colOff>847169</xdr:colOff>
      <xdr:row>6</xdr:row>
      <xdr:rowOff>1458632</xdr:rowOff>
    </xdr:to>
    <xdr:sp macro="" textlink="">
      <xdr:nvSpPr>
        <xdr:cNvPr id="130" name="Овал 129">
          <a:extLst>
            <a:ext uri="{FF2B5EF4-FFF2-40B4-BE49-F238E27FC236}">
              <a16:creationId xmlns:a16="http://schemas.microsoft.com/office/drawing/2014/main" xmlns="" id="{00000000-0008-0000-0900-00003D020000}"/>
            </a:ext>
          </a:extLst>
        </xdr:cNvPr>
        <xdr:cNvSpPr/>
      </xdr:nvSpPr>
      <xdr:spPr>
        <a:xfrm>
          <a:off x="5511944" y="5734514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801267</xdr:colOff>
      <xdr:row>6</xdr:row>
      <xdr:rowOff>112059</xdr:rowOff>
    </xdr:from>
    <xdr:to>
      <xdr:col>3</xdr:col>
      <xdr:colOff>801267</xdr:colOff>
      <xdr:row>6</xdr:row>
      <xdr:rowOff>1440869</xdr:rowOff>
    </xdr:to>
    <xdr:cxnSp macro="">
      <xdr:nvCxnSpPr>
        <xdr:cNvPr id="131" name="Прямая со стрелкой 130">
          <a:extLst>
            <a:ext uri="{FF2B5EF4-FFF2-40B4-BE49-F238E27FC236}">
              <a16:creationId xmlns:a16="http://schemas.microsoft.com/office/drawing/2014/main" xmlns="" id="{00000000-0008-0000-0900-00003B020000}"/>
            </a:ext>
          </a:extLst>
        </xdr:cNvPr>
        <xdr:cNvCxnSpPr/>
      </xdr:nvCxnSpPr>
      <xdr:spPr>
        <a:xfrm flipV="1">
          <a:off x="5541355" y="4459941"/>
          <a:ext cx="0" cy="1328810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801220</xdr:colOff>
      <xdr:row>6</xdr:row>
      <xdr:rowOff>771857</xdr:rowOff>
    </xdr:from>
    <xdr:to>
      <xdr:col>3</xdr:col>
      <xdr:colOff>1473793</xdr:colOff>
      <xdr:row>6</xdr:row>
      <xdr:rowOff>771857</xdr:rowOff>
    </xdr:to>
    <xdr:cxnSp macro="">
      <xdr:nvCxnSpPr>
        <xdr:cNvPr id="132" name="Прямая со стрелкой 131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>
          <a:off x="5544670" y="5105732"/>
          <a:ext cx="672573" cy="0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808880</xdr:colOff>
      <xdr:row>4</xdr:row>
      <xdr:rowOff>1389365</xdr:rowOff>
    </xdr:from>
    <xdr:to>
      <xdr:col>2</xdr:col>
      <xdr:colOff>884193</xdr:colOff>
      <xdr:row>4</xdr:row>
      <xdr:rowOff>1461365</xdr:rowOff>
    </xdr:to>
    <xdr:sp macro="" textlink="">
      <xdr:nvSpPr>
        <xdr:cNvPr id="135" name="Овал 134">
          <a:extLst>
            <a:ext uri="{FF2B5EF4-FFF2-40B4-BE49-F238E27FC236}">
              <a16:creationId xmlns:a16="http://schemas.microsoft.com/office/drawing/2014/main" xmlns="" id="{00000000-0008-0000-0900-00003D020000}"/>
            </a:ext>
          </a:extLst>
        </xdr:cNvPr>
        <xdr:cNvSpPr/>
      </xdr:nvSpPr>
      <xdr:spPr>
        <a:xfrm>
          <a:off x="3975121" y="2670313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849497</xdr:colOff>
      <xdr:row>4</xdr:row>
      <xdr:rowOff>757363</xdr:rowOff>
    </xdr:from>
    <xdr:to>
      <xdr:col>2</xdr:col>
      <xdr:colOff>849497</xdr:colOff>
      <xdr:row>4</xdr:row>
      <xdr:rowOff>1437033</xdr:rowOff>
    </xdr:to>
    <xdr:cxnSp macro="">
      <xdr:nvCxnSpPr>
        <xdr:cNvPr id="136" name="Прямая со стрелкой 135">
          <a:extLst>
            <a:ext uri="{FF2B5EF4-FFF2-40B4-BE49-F238E27FC236}">
              <a16:creationId xmlns:a16="http://schemas.microsoft.com/office/drawing/2014/main" xmlns="" id="{00000000-0008-0000-0900-00003B020000}"/>
            </a:ext>
          </a:extLst>
        </xdr:cNvPr>
        <xdr:cNvCxnSpPr/>
      </xdr:nvCxnSpPr>
      <xdr:spPr>
        <a:xfrm flipV="1">
          <a:off x="4015738" y="2038311"/>
          <a:ext cx="0" cy="679670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176893</xdr:colOff>
      <xdr:row>4</xdr:row>
      <xdr:rowOff>190501</xdr:rowOff>
    </xdr:from>
    <xdr:to>
      <xdr:col>2</xdr:col>
      <xdr:colOff>1469572</xdr:colOff>
      <xdr:row>4</xdr:row>
      <xdr:rowOff>1387928</xdr:rowOff>
    </xdr:to>
    <xdr:cxnSp macro="">
      <xdr:nvCxnSpPr>
        <xdr:cNvPr id="137" name="Прямая со стрелкой 136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 flipV="1">
          <a:off x="3333750" y="1469572"/>
          <a:ext cx="1292679" cy="1197427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786468</xdr:colOff>
      <xdr:row>7</xdr:row>
      <xdr:rowOff>1376226</xdr:rowOff>
    </xdr:from>
    <xdr:to>
      <xdr:col>3</xdr:col>
      <xdr:colOff>861781</xdr:colOff>
      <xdr:row>7</xdr:row>
      <xdr:rowOff>1448226</xdr:rowOff>
    </xdr:to>
    <xdr:sp macro="" textlink="">
      <xdr:nvSpPr>
        <xdr:cNvPr id="140" name="Овал 139">
          <a:extLst>
            <a:ext uri="{FF2B5EF4-FFF2-40B4-BE49-F238E27FC236}">
              <a16:creationId xmlns:a16="http://schemas.microsoft.com/office/drawing/2014/main" xmlns="" id="{00000000-0008-0000-0900-00003D020000}"/>
            </a:ext>
          </a:extLst>
        </xdr:cNvPr>
        <xdr:cNvSpPr/>
      </xdr:nvSpPr>
      <xdr:spPr>
        <a:xfrm>
          <a:off x="786468" y="4200108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815879</xdr:colOff>
      <xdr:row>7</xdr:row>
      <xdr:rowOff>101653</xdr:rowOff>
    </xdr:from>
    <xdr:to>
      <xdr:col>3</xdr:col>
      <xdr:colOff>815879</xdr:colOff>
      <xdr:row>7</xdr:row>
      <xdr:rowOff>1430463</xdr:rowOff>
    </xdr:to>
    <xdr:cxnSp macro="">
      <xdr:nvCxnSpPr>
        <xdr:cNvPr id="141" name="Прямая со стрелкой 140">
          <a:extLst>
            <a:ext uri="{FF2B5EF4-FFF2-40B4-BE49-F238E27FC236}">
              <a16:creationId xmlns:a16="http://schemas.microsoft.com/office/drawing/2014/main" xmlns="" id="{00000000-0008-0000-0900-00003B020000}"/>
            </a:ext>
          </a:extLst>
        </xdr:cNvPr>
        <xdr:cNvCxnSpPr/>
      </xdr:nvCxnSpPr>
      <xdr:spPr>
        <a:xfrm flipV="1">
          <a:off x="815879" y="2925535"/>
          <a:ext cx="0" cy="1328810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775263</xdr:colOff>
      <xdr:row>7</xdr:row>
      <xdr:rowOff>1342609</xdr:rowOff>
    </xdr:from>
    <xdr:to>
      <xdr:col>1</xdr:col>
      <xdr:colOff>850576</xdr:colOff>
      <xdr:row>7</xdr:row>
      <xdr:rowOff>1414609</xdr:rowOff>
    </xdr:to>
    <xdr:sp macro="" textlink="">
      <xdr:nvSpPr>
        <xdr:cNvPr id="149" name="Овал 148">
          <a:extLst>
            <a:ext uri="{FF2B5EF4-FFF2-40B4-BE49-F238E27FC236}">
              <a16:creationId xmlns:a16="http://schemas.microsoft.com/office/drawing/2014/main" xmlns="" id="{00000000-0008-0000-0900-00003D020000}"/>
            </a:ext>
          </a:extLst>
        </xdr:cNvPr>
        <xdr:cNvSpPr/>
      </xdr:nvSpPr>
      <xdr:spPr>
        <a:xfrm>
          <a:off x="3935322" y="7214491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804674</xdr:colOff>
      <xdr:row>7</xdr:row>
      <xdr:rowOff>68036</xdr:rowOff>
    </xdr:from>
    <xdr:to>
      <xdr:col>1</xdr:col>
      <xdr:colOff>804674</xdr:colOff>
      <xdr:row>7</xdr:row>
      <xdr:rowOff>1396846</xdr:rowOff>
    </xdr:to>
    <xdr:cxnSp macro="">
      <xdr:nvCxnSpPr>
        <xdr:cNvPr id="150" name="Прямая со стрелкой 149">
          <a:extLst>
            <a:ext uri="{FF2B5EF4-FFF2-40B4-BE49-F238E27FC236}">
              <a16:creationId xmlns:a16="http://schemas.microsoft.com/office/drawing/2014/main" xmlns="" id="{00000000-0008-0000-0900-00003B020000}"/>
            </a:ext>
          </a:extLst>
        </xdr:cNvPr>
        <xdr:cNvCxnSpPr/>
      </xdr:nvCxnSpPr>
      <xdr:spPr>
        <a:xfrm flipV="1">
          <a:off x="3964733" y="5939918"/>
          <a:ext cx="0" cy="1328810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786468</xdr:colOff>
      <xdr:row>6</xdr:row>
      <xdr:rowOff>1398638</xdr:rowOff>
    </xdr:from>
    <xdr:to>
      <xdr:col>0</xdr:col>
      <xdr:colOff>861781</xdr:colOff>
      <xdr:row>6</xdr:row>
      <xdr:rowOff>1470638</xdr:rowOff>
    </xdr:to>
    <xdr:sp macro="" textlink="">
      <xdr:nvSpPr>
        <xdr:cNvPr id="159" name="Овал 158">
          <a:extLst>
            <a:ext uri="{FF2B5EF4-FFF2-40B4-BE49-F238E27FC236}">
              <a16:creationId xmlns:a16="http://schemas.microsoft.com/office/drawing/2014/main" xmlns="" id="{00000000-0008-0000-0900-00003D020000}"/>
            </a:ext>
          </a:extLst>
        </xdr:cNvPr>
        <xdr:cNvSpPr/>
      </xdr:nvSpPr>
      <xdr:spPr>
        <a:xfrm>
          <a:off x="786468" y="5746520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815879</xdr:colOff>
      <xdr:row>6</xdr:row>
      <xdr:rowOff>124065</xdr:rowOff>
    </xdr:from>
    <xdr:to>
      <xdr:col>0</xdr:col>
      <xdr:colOff>815879</xdr:colOff>
      <xdr:row>6</xdr:row>
      <xdr:rowOff>1452875</xdr:rowOff>
    </xdr:to>
    <xdr:cxnSp macro="">
      <xdr:nvCxnSpPr>
        <xdr:cNvPr id="160" name="Прямая со стрелкой 159">
          <a:extLst>
            <a:ext uri="{FF2B5EF4-FFF2-40B4-BE49-F238E27FC236}">
              <a16:creationId xmlns:a16="http://schemas.microsoft.com/office/drawing/2014/main" xmlns="" id="{00000000-0008-0000-0900-00003B020000}"/>
            </a:ext>
          </a:extLst>
        </xdr:cNvPr>
        <xdr:cNvCxnSpPr/>
      </xdr:nvCxnSpPr>
      <xdr:spPr>
        <a:xfrm flipV="1">
          <a:off x="815879" y="4471947"/>
          <a:ext cx="0" cy="1328810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818029</xdr:colOff>
      <xdr:row>6</xdr:row>
      <xdr:rowOff>761111</xdr:rowOff>
    </xdr:from>
    <xdr:to>
      <xdr:col>0</xdr:col>
      <xdr:colOff>1512794</xdr:colOff>
      <xdr:row>6</xdr:row>
      <xdr:rowOff>1053353</xdr:rowOff>
    </xdr:to>
    <xdr:cxnSp macro="">
      <xdr:nvCxnSpPr>
        <xdr:cNvPr id="161" name="Прямая со стрелкой 160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>
          <a:off x="818029" y="5108993"/>
          <a:ext cx="694765" cy="292242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847725</xdr:colOff>
      <xdr:row>6</xdr:row>
      <xdr:rowOff>938489</xdr:rowOff>
    </xdr:from>
    <xdr:to>
      <xdr:col>0</xdr:col>
      <xdr:colOff>1130871</xdr:colOff>
      <xdr:row>6</xdr:row>
      <xdr:rowOff>1190489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725" y="5286371"/>
          <a:ext cx="283146" cy="252000"/>
        </a:xfrm>
        <a:prstGeom prst="rect">
          <a:avLst/>
        </a:prstGeom>
      </xdr:spPr>
    </xdr:pic>
    <xdr:clientData/>
  </xdr:twoCellAnchor>
  <xdr:twoCellAnchor>
    <xdr:from>
      <xdr:col>1</xdr:col>
      <xdr:colOff>808879</xdr:colOff>
      <xdr:row>4</xdr:row>
      <xdr:rowOff>1376227</xdr:rowOff>
    </xdr:from>
    <xdr:to>
      <xdr:col>1</xdr:col>
      <xdr:colOff>884192</xdr:colOff>
      <xdr:row>4</xdr:row>
      <xdr:rowOff>1448227</xdr:rowOff>
    </xdr:to>
    <xdr:sp macro="" textlink="">
      <xdr:nvSpPr>
        <xdr:cNvPr id="178" name="Овал 177">
          <a:extLst>
            <a:ext uri="{FF2B5EF4-FFF2-40B4-BE49-F238E27FC236}">
              <a16:creationId xmlns:a16="http://schemas.microsoft.com/office/drawing/2014/main" xmlns="" id="{00000000-0008-0000-0900-00003D020000}"/>
            </a:ext>
          </a:extLst>
        </xdr:cNvPr>
        <xdr:cNvSpPr/>
      </xdr:nvSpPr>
      <xdr:spPr>
        <a:xfrm>
          <a:off x="2387308" y="2655298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838290</xdr:colOff>
      <xdr:row>4</xdr:row>
      <xdr:rowOff>114300</xdr:rowOff>
    </xdr:from>
    <xdr:to>
      <xdr:col>1</xdr:col>
      <xdr:colOff>838290</xdr:colOff>
      <xdr:row>4</xdr:row>
      <xdr:rowOff>1444072</xdr:rowOff>
    </xdr:to>
    <xdr:cxnSp macro="">
      <xdr:nvCxnSpPr>
        <xdr:cNvPr id="179" name="Прямая со стрелкой 178">
          <a:extLst>
            <a:ext uri="{FF2B5EF4-FFF2-40B4-BE49-F238E27FC236}">
              <a16:creationId xmlns:a16="http://schemas.microsoft.com/office/drawing/2014/main" xmlns="" id="{00000000-0008-0000-0900-00003B020000}"/>
            </a:ext>
          </a:extLst>
        </xdr:cNvPr>
        <xdr:cNvCxnSpPr/>
      </xdr:nvCxnSpPr>
      <xdr:spPr>
        <a:xfrm flipV="1">
          <a:off x="2419440" y="1400175"/>
          <a:ext cx="0" cy="1329772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81161</xdr:colOff>
      <xdr:row>4</xdr:row>
      <xdr:rowOff>761452</xdr:rowOff>
    </xdr:from>
    <xdr:to>
      <xdr:col>1</xdr:col>
      <xdr:colOff>828675</xdr:colOff>
      <xdr:row>4</xdr:row>
      <xdr:rowOff>761452</xdr:rowOff>
    </xdr:to>
    <xdr:cxnSp macro="">
      <xdr:nvCxnSpPr>
        <xdr:cNvPr id="180" name="Прямая со стрелкой 179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>
          <a:off x="1662311" y="2047327"/>
          <a:ext cx="747514" cy="0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884465</xdr:colOff>
      <xdr:row>4</xdr:row>
      <xdr:rowOff>792090</xdr:rowOff>
    </xdr:from>
    <xdr:to>
      <xdr:col>1</xdr:col>
      <xdr:colOff>1141522</xdr:colOff>
      <xdr:row>4</xdr:row>
      <xdr:rowOff>1044090</xdr:rowOff>
    </xdr:to>
    <xdr:pic>
      <xdr:nvPicPr>
        <xdr:cNvPr id="182" name="Рисунок 18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2894" y="2071161"/>
          <a:ext cx="257057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934107</xdr:colOff>
      <xdr:row>8</xdr:row>
      <xdr:rowOff>684663</xdr:rowOff>
    </xdr:from>
    <xdr:to>
      <xdr:col>2</xdr:col>
      <xdr:colOff>1296057</xdr:colOff>
      <xdr:row>8</xdr:row>
      <xdr:rowOff>1046613</xdr:rowOff>
    </xdr:to>
    <xdr:pic>
      <xdr:nvPicPr>
        <xdr:cNvPr id="184" name="Рисунок 183" descr="Картинки по запросу знак конец главной дороги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9338" y="8070201"/>
          <a:ext cx="36195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1044254</xdr:colOff>
      <xdr:row>8</xdr:row>
      <xdr:rowOff>1380419</xdr:rowOff>
    </xdr:from>
    <xdr:to>
      <xdr:col>2</xdr:col>
      <xdr:colOff>1119567</xdr:colOff>
      <xdr:row>8</xdr:row>
      <xdr:rowOff>1452419</xdr:rowOff>
    </xdr:to>
    <xdr:sp macro="" textlink="">
      <xdr:nvSpPr>
        <xdr:cNvPr id="187" name="Овал 186">
          <a:extLst>
            <a:ext uri="{FF2B5EF4-FFF2-40B4-BE49-F238E27FC236}">
              <a16:creationId xmlns:a16="http://schemas.microsoft.com/office/drawing/2014/main" xmlns="" id="{00000000-0008-0000-0900-00003D020000}"/>
            </a:ext>
          </a:extLst>
        </xdr:cNvPr>
        <xdr:cNvSpPr/>
      </xdr:nvSpPr>
      <xdr:spPr>
        <a:xfrm>
          <a:off x="4204313" y="8776301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512381</xdr:colOff>
      <xdr:row>8</xdr:row>
      <xdr:rowOff>137949</xdr:rowOff>
    </xdr:from>
    <xdr:to>
      <xdr:col>2</xdr:col>
      <xdr:colOff>1074852</xdr:colOff>
      <xdr:row>8</xdr:row>
      <xdr:rowOff>1392116</xdr:rowOff>
    </xdr:to>
    <xdr:cxnSp macro="">
      <xdr:nvCxnSpPr>
        <xdr:cNvPr id="188" name="Прямая со стрелкой 187">
          <a:extLst>
            <a:ext uri="{FF2B5EF4-FFF2-40B4-BE49-F238E27FC236}">
              <a16:creationId xmlns:a16="http://schemas.microsoft.com/office/drawing/2014/main" xmlns="" id="{00000000-0008-0000-0900-00003B020000}"/>
            </a:ext>
          </a:extLst>
        </xdr:cNvPr>
        <xdr:cNvCxnSpPr/>
      </xdr:nvCxnSpPr>
      <xdr:spPr>
        <a:xfrm flipH="1" flipV="1">
          <a:off x="3677612" y="7523487"/>
          <a:ext cx="562471" cy="1254167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819052</xdr:colOff>
      <xdr:row>8</xdr:row>
      <xdr:rowOff>1313467</xdr:rowOff>
    </xdr:from>
    <xdr:to>
      <xdr:col>3</xdr:col>
      <xdr:colOff>894365</xdr:colOff>
      <xdr:row>8</xdr:row>
      <xdr:rowOff>1385467</xdr:rowOff>
    </xdr:to>
    <xdr:sp macro="" textlink="">
      <xdr:nvSpPr>
        <xdr:cNvPr id="193" name="Овал 192">
          <a:extLst>
            <a:ext uri="{FF2B5EF4-FFF2-40B4-BE49-F238E27FC236}">
              <a16:creationId xmlns:a16="http://schemas.microsoft.com/office/drawing/2014/main" xmlns="" id="{00000000-0008-0000-0900-00003D020000}"/>
            </a:ext>
          </a:extLst>
        </xdr:cNvPr>
        <xdr:cNvSpPr/>
      </xdr:nvSpPr>
      <xdr:spPr>
        <a:xfrm>
          <a:off x="819052" y="8699005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775263</xdr:colOff>
      <xdr:row>5</xdr:row>
      <xdr:rowOff>1360384</xdr:rowOff>
    </xdr:from>
    <xdr:to>
      <xdr:col>1</xdr:col>
      <xdr:colOff>850576</xdr:colOff>
      <xdr:row>5</xdr:row>
      <xdr:rowOff>1432384</xdr:rowOff>
    </xdr:to>
    <xdr:sp macro="" textlink="">
      <xdr:nvSpPr>
        <xdr:cNvPr id="201" name="Овал 200">
          <a:extLst>
            <a:ext uri="{FF2B5EF4-FFF2-40B4-BE49-F238E27FC236}">
              <a16:creationId xmlns:a16="http://schemas.microsoft.com/office/drawing/2014/main" xmlns="" id="{00000000-0008-0000-0900-00003D020000}"/>
            </a:ext>
          </a:extLst>
        </xdr:cNvPr>
        <xdr:cNvSpPr/>
      </xdr:nvSpPr>
      <xdr:spPr>
        <a:xfrm>
          <a:off x="5524625" y="7213332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810117</xdr:colOff>
      <xdr:row>5</xdr:row>
      <xdr:rowOff>784732</xdr:rowOff>
    </xdr:from>
    <xdr:to>
      <xdr:col>1</xdr:col>
      <xdr:colOff>810117</xdr:colOff>
      <xdr:row>5</xdr:row>
      <xdr:rowOff>1403735</xdr:rowOff>
    </xdr:to>
    <xdr:cxnSp macro="">
      <xdr:nvCxnSpPr>
        <xdr:cNvPr id="202" name="Прямая со стрелкой 201">
          <a:extLst>
            <a:ext uri="{FF2B5EF4-FFF2-40B4-BE49-F238E27FC236}">
              <a16:creationId xmlns:a16="http://schemas.microsoft.com/office/drawing/2014/main" xmlns="" id="{00000000-0008-0000-0900-00003B020000}"/>
            </a:ext>
          </a:extLst>
        </xdr:cNvPr>
        <xdr:cNvCxnSpPr/>
      </xdr:nvCxnSpPr>
      <xdr:spPr>
        <a:xfrm flipV="1">
          <a:off x="5561731" y="6641246"/>
          <a:ext cx="0" cy="619003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818732</xdr:colOff>
      <xdr:row>5</xdr:row>
      <xdr:rowOff>767989</xdr:rowOff>
    </xdr:from>
    <xdr:to>
      <xdr:col>1</xdr:col>
      <xdr:colOff>1058796</xdr:colOff>
      <xdr:row>5</xdr:row>
      <xdr:rowOff>1428590</xdr:rowOff>
    </xdr:to>
    <xdr:cxnSp macro="">
      <xdr:nvCxnSpPr>
        <xdr:cNvPr id="203" name="Прямая со стрелкой 202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>
          <a:off x="5570346" y="6624503"/>
          <a:ext cx="240064" cy="660601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960582</xdr:colOff>
      <xdr:row>5</xdr:row>
      <xdr:rowOff>824256</xdr:rowOff>
    </xdr:from>
    <xdr:to>
      <xdr:col>1</xdr:col>
      <xdr:colOff>1217076</xdr:colOff>
      <xdr:row>5</xdr:row>
      <xdr:rowOff>1076256</xdr:rowOff>
    </xdr:to>
    <xdr:pic>
      <xdr:nvPicPr>
        <xdr:cNvPr id="207" name="Рисунок 206" descr="Картинки по запросу знак кирпич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2196" y="6680770"/>
          <a:ext cx="256494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145831</xdr:colOff>
      <xdr:row>7</xdr:row>
      <xdr:rowOff>264073</xdr:rowOff>
    </xdr:from>
    <xdr:to>
      <xdr:col>0</xdr:col>
      <xdr:colOff>815865</xdr:colOff>
      <xdr:row>7</xdr:row>
      <xdr:rowOff>740354</xdr:rowOff>
    </xdr:to>
    <xdr:cxnSp macro="">
      <xdr:nvCxnSpPr>
        <xdr:cNvPr id="213" name="Прямая со стрелкой 212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 flipH="1" flipV="1">
          <a:off x="145831" y="6117021"/>
          <a:ext cx="670034" cy="476281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510915</xdr:colOff>
      <xdr:row>8</xdr:row>
      <xdr:rowOff>136483</xdr:rowOff>
    </xdr:from>
    <xdr:to>
      <xdr:col>2</xdr:col>
      <xdr:colOff>1073386</xdr:colOff>
      <xdr:row>8</xdr:row>
      <xdr:rowOff>1390650</xdr:rowOff>
    </xdr:to>
    <xdr:cxnSp macro="">
      <xdr:nvCxnSpPr>
        <xdr:cNvPr id="224" name="Прямая со стрелкой 223">
          <a:extLst>
            <a:ext uri="{FF2B5EF4-FFF2-40B4-BE49-F238E27FC236}">
              <a16:creationId xmlns:a16="http://schemas.microsoft.com/office/drawing/2014/main" xmlns="" id="{00000000-0008-0000-0900-00003B020000}"/>
            </a:ext>
          </a:extLst>
        </xdr:cNvPr>
        <xdr:cNvCxnSpPr/>
      </xdr:nvCxnSpPr>
      <xdr:spPr>
        <a:xfrm flipV="1">
          <a:off x="3676146" y="7522021"/>
          <a:ext cx="562471" cy="1254167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849819</xdr:colOff>
      <xdr:row>8</xdr:row>
      <xdr:rowOff>112058</xdr:rowOff>
    </xdr:from>
    <xdr:to>
      <xdr:col>3</xdr:col>
      <xdr:colOff>849819</xdr:colOff>
      <xdr:row>8</xdr:row>
      <xdr:rowOff>1375525</xdr:rowOff>
    </xdr:to>
    <xdr:cxnSp macro="">
      <xdr:nvCxnSpPr>
        <xdr:cNvPr id="227" name="Прямая со стрелкой 226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849819" y="7497596"/>
          <a:ext cx="0" cy="1263467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848653</xdr:colOff>
      <xdr:row>8</xdr:row>
      <xdr:rowOff>285751</xdr:rowOff>
    </xdr:from>
    <xdr:to>
      <xdr:col>3</xdr:col>
      <xdr:colOff>1267557</xdr:colOff>
      <xdr:row>8</xdr:row>
      <xdr:rowOff>807687</xdr:rowOff>
    </xdr:to>
    <xdr:cxnSp macro="">
      <xdr:nvCxnSpPr>
        <xdr:cNvPr id="228" name="Прямая со стрелкой 227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848653" y="7671289"/>
          <a:ext cx="418904" cy="521936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346562</xdr:colOff>
      <xdr:row>8</xdr:row>
      <xdr:rowOff>296741</xdr:rowOff>
    </xdr:from>
    <xdr:to>
      <xdr:col>3</xdr:col>
      <xdr:colOff>852100</xdr:colOff>
      <xdr:row>8</xdr:row>
      <xdr:rowOff>815013</xdr:rowOff>
    </xdr:to>
    <xdr:cxnSp macro="">
      <xdr:nvCxnSpPr>
        <xdr:cNvPr id="229" name="Прямая со стрелкой 228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 flipV="1">
          <a:off x="346562" y="7682279"/>
          <a:ext cx="505538" cy="518272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832692</xdr:colOff>
      <xdr:row>5</xdr:row>
      <xdr:rowOff>1179635</xdr:rowOff>
    </xdr:from>
    <xdr:to>
      <xdr:col>3</xdr:col>
      <xdr:colOff>832692</xdr:colOff>
      <xdr:row>5</xdr:row>
      <xdr:rowOff>1385640</xdr:rowOff>
    </xdr:to>
    <xdr:cxnSp macro="">
      <xdr:nvCxnSpPr>
        <xdr:cNvPr id="239" name="Прямая со стрелкой 238">
          <a:extLst>
            <a:ext uri="{FF2B5EF4-FFF2-40B4-BE49-F238E27FC236}">
              <a16:creationId xmlns:a16="http://schemas.microsoft.com/office/drawing/2014/main" xmlns="" id="{00000000-0008-0000-0900-00003B020000}"/>
            </a:ext>
          </a:extLst>
        </xdr:cNvPr>
        <xdr:cNvCxnSpPr/>
      </xdr:nvCxnSpPr>
      <xdr:spPr>
        <a:xfrm flipV="1">
          <a:off x="5572780" y="4003517"/>
          <a:ext cx="0" cy="206005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66595</xdr:colOff>
      <xdr:row>5</xdr:row>
      <xdr:rowOff>772658</xdr:rowOff>
    </xdr:from>
    <xdr:to>
      <xdr:col>1</xdr:col>
      <xdr:colOff>1501588</xdr:colOff>
      <xdr:row>5</xdr:row>
      <xdr:rowOff>772658</xdr:rowOff>
    </xdr:to>
    <xdr:cxnSp macro="">
      <xdr:nvCxnSpPr>
        <xdr:cNvPr id="244" name="Прямая со стрелкой 243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>
          <a:off x="4806683" y="6644540"/>
          <a:ext cx="1434993" cy="0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225001</xdr:colOff>
      <xdr:row>7</xdr:row>
      <xdr:rowOff>761995</xdr:rowOff>
    </xdr:from>
    <xdr:to>
      <xdr:col>3</xdr:col>
      <xdr:colOff>810827</xdr:colOff>
      <xdr:row>7</xdr:row>
      <xdr:rowOff>1288122</xdr:rowOff>
    </xdr:to>
    <xdr:cxnSp macro="">
      <xdr:nvCxnSpPr>
        <xdr:cNvPr id="92" name="Прямая со стрелкой 91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 flipH="1">
          <a:off x="4960287" y="6613066"/>
          <a:ext cx="585826" cy="526127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857250</xdr:colOff>
      <xdr:row>7</xdr:row>
      <xdr:rowOff>775607</xdr:rowOff>
    </xdr:from>
    <xdr:to>
      <xdr:col>3</xdr:col>
      <xdr:colOff>1428107</xdr:colOff>
      <xdr:row>7</xdr:row>
      <xdr:rowOff>1027607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57250" y="3578678"/>
          <a:ext cx="570857" cy="252000"/>
        </a:xfrm>
        <a:prstGeom prst="rect">
          <a:avLst/>
        </a:prstGeom>
      </xdr:spPr>
    </xdr:pic>
    <xdr:clientData/>
  </xdr:twoCellAnchor>
  <xdr:twoCellAnchor>
    <xdr:from>
      <xdr:col>2</xdr:col>
      <xdr:colOff>937367</xdr:colOff>
      <xdr:row>6</xdr:row>
      <xdr:rowOff>267340</xdr:rowOff>
    </xdr:from>
    <xdr:to>
      <xdr:col>2</xdr:col>
      <xdr:colOff>1091766</xdr:colOff>
      <xdr:row>6</xdr:row>
      <xdr:rowOff>700058</xdr:rowOff>
    </xdr:to>
    <xdr:grpSp>
      <xdr:nvGrpSpPr>
        <xdr:cNvPr id="96" name="Группа 95">
          <a:extLst>
            <a:ext uri="{FF2B5EF4-FFF2-40B4-BE49-F238E27FC236}">
              <a16:creationId xmlns:a16="http://schemas.microsoft.com/office/drawing/2014/main" xmlns="" id="{00000000-0008-0000-0600-000045000000}"/>
            </a:ext>
          </a:extLst>
        </xdr:cNvPr>
        <xdr:cNvGrpSpPr>
          <a:grpSpLocks noChangeAspect="1"/>
        </xdr:cNvGrpSpPr>
      </xdr:nvGrpSpPr>
      <xdr:grpSpPr>
        <a:xfrm>
          <a:off x="4099667" y="5496565"/>
          <a:ext cx="154399" cy="432718"/>
          <a:chOff x="635632" y="15053070"/>
          <a:chExt cx="102554" cy="297657"/>
        </a:xfrm>
      </xdr:grpSpPr>
      <xdr:sp macro="" textlink="">
        <xdr:nvSpPr>
          <xdr:cNvPr id="97" name="Прямоугольник 96">
            <a:extLst>
              <a:ext uri="{FF2B5EF4-FFF2-40B4-BE49-F238E27FC236}">
                <a16:creationId xmlns:a16="http://schemas.microsoft.com/office/drawing/2014/main" xmlns="" id="{00000000-0008-0000-0600-000046000000}"/>
              </a:ext>
            </a:extLst>
          </xdr:cNvPr>
          <xdr:cNvSpPr/>
        </xdr:nvSpPr>
        <xdr:spPr>
          <a:xfrm flipH="1">
            <a:off x="635632" y="15053070"/>
            <a:ext cx="102554" cy="297657"/>
          </a:xfrm>
          <a:prstGeom prst="rect">
            <a:avLst/>
          </a:prstGeom>
          <a:solidFill>
            <a:schemeClr val="tx1">
              <a:lumMod val="75000"/>
              <a:lumOff val="2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98" name="Овал 97">
            <a:extLst>
              <a:ext uri="{FF2B5EF4-FFF2-40B4-BE49-F238E27FC236}">
                <a16:creationId xmlns:a16="http://schemas.microsoft.com/office/drawing/2014/main" xmlns="" id="{00000000-0008-0000-0600-000047000000}"/>
              </a:ext>
            </a:extLst>
          </xdr:cNvPr>
          <xdr:cNvSpPr/>
        </xdr:nvSpPr>
        <xdr:spPr>
          <a:xfrm flipH="1">
            <a:off x="650305" y="15069367"/>
            <a:ext cx="73208" cy="73208"/>
          </a:xfrm>
          <a:prstGeom prst="ellipse">
            <a:avLst/>
          </a:prstGeom>
          <a:solidFill>
            <a:srgbClr val="FF000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99" name="Овал 98">
            <a:extLst>
              <a:ext uri="{FF2B5EF4-FFF2-40B4-BE49-F238E27FC236}">
                <a16:creationId xmlns:a16="http://schemas.microsoft.com/office/drawing/2014/main" xmlns="" id="{00000000-0008-0000-0600-000048000000}"/>
              </a:ext>
            </a:extLst>
          </xdr:cNvPr>
          <xdr:cNvSpPr/>
        </xdr:nvSpPr>
        <xdr:spPr>
          <a:xfrm flipH="1">
            <a:off x="650305" y="15165295"/>
            <a:ext cx="73208" cy="73208"/>
          </a:xfrm>
          <a:prstGeom prst="ellipse">
            <a:avLst/>
          </a:prstGeom>
          <a:solidFill>
            <a:srgbClr val="FFFF0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00" name="Овал 99">
            <a:extLst>
              <a:ext uri="{FF2B5EF4-FFF2-40B4-BE49-F238E27FC236}">
                <a16:creationId xmlns:a16="http://schemas.microsoft.com/office/drawing/2014/main" xmlns="" id="{00000000-0008-0000-0600-000049000000}"/>
              </a:ext>
            </a:extLst>
          </xdr:cNvPr>
          <xdr:cNvSpPr/>
        </xdr:nvSpPr>
        <xdr:spPr>
          <a:xfrm flipH="1">
            <a:off x="650305" y="15261223"/>
            <a:ext cx="73208" cy="73208"/>
          </a:xfrm>
          <a:prstGeom prst="ellipse">
            <a:avLst/>
          </a:prstGeom>
          <a:solidFill>
            <a:srgbClr val="00B05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0</xdr:col>
      <xdr:colOff>812829</xdr:colOff>
      <xdr:row>6</xdr:row>
      <xdr:rowOff>222837</xdr:rowOff>
    </xdr:from>
    <xdr:to>
      <xdr:col>0</xdr:col>
      <xdr:colOff>1398655</xdr:colOff>
      <xdr:row>6</xdr:row>
      <xdr:rowOff>748964</xdr:rowOff>
    </xdr:to>
    <xdr:cxnSp macro="">
      <xdr:nvCxnSpPr>
        <xdr:cNvPr id="107" name="Прямая со стрелкой 106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 flipV="1">
          <a:off x="812829" y="4570719"/>
          <a:ext cx="585826" cy="526127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839801</xdr:colOff>
      <xdr:row>6</xdr:row>
      <xdr:rowOff>782261</xdr:rowOff>
    </xdr:from>
    <xdr:to>
      <xdr:col>3</xdr:col>
      <xdr:colOff>1400175</xdr:colOff>
      <xdr:row>6</xdr:row>
      <xdr:rowOff>1275308</xdr:rowOff>
    </xdr:to>
    <xdr:cxnSp macro="">
      <xdr:nvCxnSpPr>
        <xdr:cNvPr id="108" name="Прямая со стрелкой 107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>
          <a:off x="5579889" y="5130143"/>
          <a:ext cx="560374" cy="493047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78441</xdr:colOff>
      <xdr:row>7</xdr:row>
      <xdr:rowOff>727834</xdr:rowOff>
    </xdr:from>
    <xdr:to>
      <xdr:col>1</xdr:col>
      <xdr:colOff>806825</xdr:colOff>
      <xdr:row>7</xdr:row>
      <xdr:rowOff>727834</xdr:rowOff>
    </xdr:to>
    <xdr:cxnSp macro="">
      <xdr:nvCxnSpPr>
        <xdr:cNvPr id="109" name="Прямая со стрелкой 108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 flipH="1">
          <a:off x="3238500" y="6599716"/>
          <a:ext cx="728384" cy="0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820748</xdr:colOff>
      <xdr:row>8</xdr:row>
      <xdr:rowOff>493059</xdr:rowOff>
    </xdr:from>
    <xdr:to>
      <xdr:col>2</xdr:col>
      <xdr:colOff>1311088</xdr:colOff>
      <xdr:row>8</xdr:row>
      <xdr:rowOff>761452</xdr:rowOff>
    </xdr:to>
    <xdr:cxnSp macro="">
      <xdr:nvCxnSpPr>
        <xdr:cNvPr id="111" name="Прямая со стрелкой 110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 flipV="1">
          <a:off x="3980807" y="7888941"/>
          <a:ext cx="490340" cy="268393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92367</xdr:colOff>
      <xdr:row>4</xdr:row>
      <xdr:rowOff>761452</xdr:rowOff>
    </xdr:from>
    <xdr:to>
      <xdr:col>2</xdr:col>
      <xdr:colOff>839881</xdr:colOff>
      <xdr:row>4</xdr:row>
      <xdr:rowOff>761452</xdr:rowOff>
    </xdr:to>
    <xdr:cxnSp macro="">
      <xdr:nvCxnSpPr>
        <xdr:cNvPr id="118" name="Прямая со стрелкой 117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>
          <a:off x="3252426" y="2061334"/>
          <a:ext cx="747514" cy="0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145676</xdr:colOff>
      <xdr:row>7</xdr:row>
      <xdr:rowOff>768004</xdr:rowOff>
    </xdr:from>
    <xdr:to>
      <xdr:col>3</xdr:col>
      <xdr:colOff>818249</xdr:colOff>
      <xdr:row>7</xdr:row>
      <xdr:rowOff>768004</xdr:rowOff>
    </xdr:to>
    <xdr:cxnSp macro="">
      <xdr:nvCxnSpPr>
        <xdr:cNvPr id="127" name="Прямая со стрелкой 126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>
          <a:off x="4889126" y="6625879"/>
          <a:ext cx="672573" cy="0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897811</xdr:colOff>
      <xdr:row>7</xdr:row>
      <xdr:rowOff>938892</xdr:rowOff>
    </xdr:from>
    <xdr:to>
      <xdr:col>1</xdr:col>
      <xdr:colOff>1149899</xdr:colOff>
      <xdr:row>7</xdr:row>
      <xdr:rowOff>1190892</xdr:rowOff>
    </xdr:to>
    <xdr:pic>
      <xdr:nvPicPr>
        <xdr:cNvPr id="95" name="Рисунок 94" descr="Картинки по запросу знак движение запрещено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240" y="6789963"/>
          <a:ext cx="252088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870857</xdr:colOff>
      <xdr:row>7</xdr:row>
      <xdr:rowOff>1190780</xdr:rowOff>
    </xdr:from>
    <xdr:to>
      <xdr:col>1</xdr:col>
      <xdr:colOff>1180625</xdr:colOff>
      <xdr:row>7</xdr:row>
      <xdr:rowOff>1370780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449286" y="7041851"/>
          <a:ext cx="309768" cy="18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976595</xdr:colOff>
      <xdr:row>7</xdr:row>
      <xdr:rowOff>73157</xdr:rowOff>
    </xdr:from>
    <xdr:ext cx="614775" cy="609653"/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3036" y="5541628"/>
          <a:ext cx="614775" cy="609653"/>
        </a:xfrm>
        <a:prstGeom prst="rect">
          <a:avLst/>
        </a:prstGeom>
        <a:ln w="19050">
          <a:noFill/>
        </a:ln>
      </xdr:spPr>
    </xdr:pic>
    <xdr:clientData/>
  </xdr:oneCellAnchor>
  <xdr:twoCellAnchor>
    <xdr:from>
      <xdr:col>3</xdr:col>
      <xdr:colOff>798853</xdr:colOff>
      <xdr:row>10</xdr:row>
      <xdr:rowOff>49586</xdr:rowOff>
    </xdr:from>
    <xdr:to>
      <xdr:col>3</xdr:col>
      <xdr:colOff>798853</xdr:colOff>
      <xdr:row>10</xdr:row>
      <xdr:rowOff>1375518</xdr:rowOff>
    </xdr:to>
    <xdr:cxnSp macro="">
      <xdr:nvCxnSpPr>
        <xdr:cNvPr id="59" name="Прямая со стрелкой 58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 flipV="1">
          <a:off x="2341903" y="11593886"/>
          <a:ext cx="0" cy="1325932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756620</xdr:colOff>
      <xdr:row>10</xdr:row>
      <xdr:rowOff>1345755</xdr:rowOff>
    </xdr:from>
    <xdr:to>
      <xdr:col>3</xdr:col>
      <xdr:colOff>828620</xdr:colOff>
      <xdr:row>10</xdr:row>
      <xdr:rowOff>1417755</xdr:rowOff>
    </xdr:to>
    <xdr:sp macro="" textlink="">
      <xdr:nvSpPr>
        <xdr:cNvPr id="60" name="Овал 5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299670" y="12890055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798853</xdr:colOff>
      <xdr:row>11</xdr:row>
      <xdr:rowOff>63193</xdr:rowOff>
    </xdr:from>
    <xdr:to>
      <xdr:col>3</xdr:col>
      <xdr:colOff>798853</xdr:colOff>
      <xdr:row>11</xdr:row>
      <xdr:rowOff>1389125</xdr:rowOff>
    </xdr:to>
    <xdr:cxnSp macro="">
      <xdr:nvCxnSpPr>
        <xdr:cNvPr id="62" name="Прямая со стрелкой 61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 flipV="1">
          <a:off x="2341903" y="17693968"/>
          <a:ext cx="0" cy="1325932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756620</xdr:colOff>
      <xdr:row>11</xdr:row>
      <xdr:rowOff>1359362</xdr:rowOff>
    </xdr:from>
    <xdr:to>
      <xdr:col>3</xdr:col>
      <xdr:colOff>828620</xdr:colOff>
      <xdr:row>11</xdr:row>
      <xdr:rowOff>1431362</xdr:rowOff>
    </xdr:to>
    <xdr:sp macro="" textlink="">
      <xdr:nvSpPr>
        <xdr:cNvPr id="63" name="Овал 6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299670" y="18990137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4</xdr:col>
      <xdr:colOff>904875</xdr:colOff>
      <xdr:row>13</xdr:row>
      <xdr:rowOff>56975</xdr:rowOff>
    </xdr:from>
    <xdr:ext cx="609653" cy="609653"/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00000000-0008-0000-09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9466" y="13149520"/>
          <a:ext cx="609653" cy="609653"/>
        </a:xfrm>
        <a:prstGeom prst="rect">
          <a:avLst/>
        </a:prstGeom>
        <a:ln w="19050">
          <a:noFill/>
        </a:ln>
      </xdr:spPr>
    </xdr:pic>
    <xdr:clientData/>
  </xdr:oneCellAnchor>
  <xdr:twoCellAnchor>
    <xdr:from>
      <xdr:col>3</xdr:col>
      <xdr:colOff>806549</xdr:colOff>
      <xdr:row>10</xdr:row>
      <xdr:rowOff>41413</xdr:rowOff>
    </xdr:from>
    <xdr:to>
      <xdr:col>3</xdr:col>
      <xdr:colOff>924694</xdr:colOff>
      <xdr:row>10</xdr:row>
      <xdr:rowOff>1016396</xdr:rowOff>
    </xdr:to>
    <xdr:cxnSp macro="">
      <xdr:nvCxnSpPr>
        <xdr:cNvPr id="70" name="Прямая соединительная линия 69"/>
        <xdr:cNvCxnSpPr/>
      </xdr:nvCxnSpPr>
      <xdr:spPr>
        <a:xfrm flipV="1">
          <a:off x="2357763" y="10056270"/>
          <a:ext cx="118145" cy="974983"/>
        </a:xfrm>
        <a:prstGeom prst="line">
          <a:avLst/>
        </a:prstGeom>
        <a:ln w="1905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122465</xdr:colOff>
      <xdr:row>11</xdr:row>
      <xdr:rowOff>449035</xdr:rowOff>
    </xdr:from>
    <xdr:to>
      <xdr:col>3</xdr:col>
      <xdr:colOff>1483179</xdr:colOff>
      <xdr:row>11</xdr:row>
      <xdr:rowOff>1047749</xdr:rowOff>
    </xdr:to>
    <xdr:cxnSp macro="">
      <xdr:nvCxnSpPr>
        <xdr:cNvPr id="72" name="Прямая соединительная линия 71"/>
        <xdr:cNvCxnSpPr/>
      </xdr:nvCxnSpPr>
      <xdr:spPr>
        <a:xfrm flipH="1">
          <a:off x="1673679" y="11987892"/>
          <a:ext cx="1360714" cy="598714"/>
        </a:xfrm>
        <a:prstGeom prst="line">
          <a:avLst/>
        </a:prstGeom>
        <a:ln w="19050">
          <a:solidFill>
            <a:schemeClr val="tx1"/>
          </a:solidFill>
          <a:prstDash val="solid"/>
          <a:headEnd type="triangl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313764</xdr:colOff>
      <xdr:row>0</xdr:row>
      <xdr:rowOff>145677</xdr:rowOff>
    </xdr:from>
    <xdr:to>
      <xdr:col>2</xdr:col>
      <xdr:colOff>264537</xdr:colOff>
      <xdr:row>2</xdr:row>
      <xdr:rowOff>121151</xdr:rowOff>
    </xdr:to>
    <xdr:pic>
      <xdr:nvPicPr>
        <xdr:cNvPr id="309" name="Рисунок 30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764" y="145677"/>
          <a:ext cx="912798" cy="413624"/>
        </a:xfrm>
        <a:prstGeom prst="rect">
          <a:avLst/>
        </a:prstGeom>
      </xdr:spPr>
    </xdr:pic>
    <xdr:clientData/>
  </xdr:twoCellAnchor>
  <xdr:twoCellAnchor>
    <xdr:from>
      <xdr:col>3</xdr:col>
      <xdr:colOff>798853</xdr:colOff>
      <xdr:row>5</xdr:row>
      <xdr:rowOff>49586</xdr:rowOff>
    </xdr:from>
    <xdr:to>
      <xdr:col>3</xdr:col>
      <xdr:colOff>798853</xdr:colOff>
      <xdr:row>5</xdr:row>
      <xdr:rowOff>1375518</xdr:rowOff>
    </xdr:to>
    <xdr:cxnSp macro="">
      <xdr:nvCxnSpPr>
        <xdr:cNvPr id="343" name="Прямая со стрелкой 342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 flipV="1">
          <a:off x="2339418" y="2434977"/>
          <a:ext cx="0" cy="1325932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756620</xdr:colOff>
      <xdr:row>5</xdr:row>
      <xdr:rowOff>1345755</xdr:rowOff>
    </xdr:from>
    <xdr:to>
      <xdr:col>3</xdr:col>
      <xdr:colOff>828620</xdr:colOff>
      <xdr:row>5</xdr:row>
      <xdr:rowOff>1417755</xdr:rowOff>
    </xdr:to>
    <xdr:sp macro="" textlink="">
      <xdr:nvSpPr>
        <xdr:cNvPr id="344" name="Овал 34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307834" y="1136061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798853</xdr:colOff>
      <xdr:row>6</xdr:row>
      <xdr:rowOff>49586</xdr:rowOff>
    </xdr:from>
    <xdr:to>
      <xdr:col>3</xdr:col>
      <xdr:colOff>798853</xdr:colOff>
      <xdr:row>6</xdr:row>
      <xdr:rowOff>1375518</xdr:rowOff>
    </xdr:to>
    <xdr:cxnSp macro="">
      <xdr:nvCxnSpPr>
        <xdr:cNvPr id="346" name="Прямая со стрелкой 345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 flipV="1">
          <a:off x="2345265" y="3994057"/>
          <a:ext cx="0" cy="1325932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756620</xdr:colOff>
      <xdr:row>6</xdr:row>
      <xdr:rowOff>1345755</xdr:rowOff>
    </xdr:from>
    <xdr:to>
      <xdr:col>3</xdr:col>
      <xdr:colOff>828620</xdr:colOff>
      <xdr:row>6</xdr:row>
      <xdr:rowOff>1417755</xdr:rowOff>
    </xdr:to>
    <xdr:sp macro="" textlink="">
      <xdr:nvSpPr>
        <xdr:cNvPr id="347" name="Овал 34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307834" y="1136061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798853</xdr:colOff>
      <xdr:row>7</xdr:row>
      <xdr:rowOff>49586</xdr:rowOff>
    </xdr:from>
    <xdr:to>
      <xdr:col>3</xdr:col>
      <xdr:colOff>798853</xdr:colOff>
      <xdr:row>7</xdr:row>
      <xdr:rowOff>1375518</xdr:rowOff>
    </xdr:to>
    <xdr:cxnSp macro="">
      <xdr:nvCxnSpPr>
        <xdr:cNvPr id="349" name="Прямая со стрелкой 348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 flipV="1">
          <a:off x="2345265" y="5518057"/>
          <a:ext cx="0" cy="1325932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756620</xdr:colOff>
      <xdr:row>7</xdr:row>
      <xdr:rowOff>1345755</xdr:rowOff>
    </xdr:from>
    <xdr:to>
      <xdr:col>3</xdr:col>
      <xdr:colOff>828620</xdr:colOff>
      <xdr:row>7</xdr:row>
      <xdr:rowOff>1417755</xdr:rowOff>
    </xdr:to>
    <xdr:sp macro="" textlink="">
      <xdr:nvSpPr>
        <xdr:cNvPr id="350" name="Овал 34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307834" y="1136061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628650</xdr:colOff>
      <xdr:row>4</xdr:row>
      <xdr:rowOff>85725</xdr:rowOff>
    </xdr:from>
    <xdr:to>
      <xdr:col>3</xdr:col>
      <xdr:colOff>800100</xdr:colOff>
      <xdr:row>4</xdr:row>
      <xdr:rowOff>1419225</xdr:rowOff>
    </xdr:to>
    <xdr:sp macro="" textlink="">
      <xdr:nvSpPr>
        <xdr:cNvPr id="357" name="Полилиния 356"/>
        <xdr:cNvSpPr/>
      </xdr:nvSpPr>
      <xdr:spPr>
        <a:xfrm>
          <a:off x="2171700" y="962025"/>
          <a:ext cx="171450" cy="1333500"/>
        </a:xfrm>
        <a:custGeom>
          <a:avLst/>
          <a:gdLst>
            <a:gd name="connsiteX0" fmla="*/ 171450 w 171450"/>
            <a:gd name="connsiteY0" fmla="*/ 1333500 h 1333500"/>
            <a:gd name="connsiteX1" fmla="*/ 171450 w 171450"/>
            <a:gd name="connsiteY1" fmla="*/ 771525 h 1333500"/>
            <a:gd name="connsiteX2" fmla="*/ 0 w 171450"/>
            <a:gd name="connsiteY2" fmla="*/ 0 h 1333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1450" h="1333500">
              <a:moveTo>
                <a:pt x="171450" y="1333500"/>
              </a:moveTo>
              <a:lnTo>
                <a:pt x="171450" y="771525"/>
              </a:lnTo>
              <a:lnTo>
                <a:pt x="0" y="0"/>
              </a:ln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295275</xdr:colOff>
      <xdr:row>4</xdr:row>
      <xdr:rowOff>457200</xdr:rowOff>
    </xdr:from>
    <xdr:to>
      <xdr:col>3</xdr:col>
      <xdr:colOff>800100</xdr:colOff>
      <xdr:row>4</xdr:row>
      <xdr:rowOff>885825</xdr:rowOff>
    </xdr:to>
    <xdr:sp macro="" textlink="">
      <xdr:nvSpPr>
        <xdr:cNvPr id="358" name="Полилиния 357"/>
        <xdr:cNvSpPr/>
      </xdr:nvSpPr>
      <xdr:spPr>
        <a:xfrm>
          <a:off x="1838325" y="1333500"/>
          <a:ext cx="504825" cy="428625"/>
        </a:xfrm>
        <a:custGeom>
          <a:avLst/>
          <a:gdLst>
            <a:gd name="connsiteX0" fmla="*/ 504825 w 504825"/>
            <a:gd name="connsiteY0" fmla="*/ 428625 h 428625"/>
            <a:gd name="connsiteX1" fmla="*/ 419100 w 504825"/>
            <a:gd name="connsiteY1" fmla="*/ 200025 h 428625"/>
            <a:gd name="connsiteX2" fmla="*/ 257175 w 504825"/>
            <a:gd name="connsiteY2" fmla="*/ 76200 h 428625"/>
            <a:gd name="connsiteX3" fmla="*/ 0 w 504825"/>
            <a:gd name="connsiteY3" fmla="*/ 0 h 4286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04825" h="428625">
              <a:moveTo>
                <a:pt x="504825" y="428625"/>
              </a:moveTo>
              <a:cubicBezTo>
                <a:pt x="482600" y="343693"/>
                <a:pt x="460375" y="258762"/>
                <a:pt x="419100" y="200025"/>
              </a:cubicBezTo>
              <a:cubicBezTo>
                <a:pt x="377825" y="141288"/>
                <a:pt x="327025" y="109537"/>
                <a:pt x="257175" y="76200"/>
              </a:cubicBezTo>
              <a:cubicBezTo>
                <a:pt x="187325" y="42863"/>
                <a:pt x="93662" y="21431"/>
                <a:pt x="0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756620</xdr:colOff>
      <xdr:row>4</xdr:row>
      <xdr:rowOff>1364805</xdr:rowOff>
    </xdr:from>
    <xdr:to>
      <xdr:col>3</xdr:col>
      <xdr:colOff>828620</xdr:colOff>
      <xdr:row>4</xdr:row>
      <xdr:rowOff>1436805</xdr:rowOff>
    </xdr:to>
    <xdr:sp macro="" textlink="">
      <xdr:nvSpPr>
        <xdr:cNvPr id="359" name="Овал 35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299670" y="2241105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523574</xdr:colOff>
      <xdr:row>5</xdr:row>
      <xdr:rowOff>82827</xdr:rowOff>
    </xdr:from>
    <xdr:to>
      <xdr:col>3</xdr:col>
      <xdr:colOff>791580</xdr:colOff>
      <xdr:row>5</xdr:row>
      <xdr:rowOff>922327</xdr:rowOff>
    </xdr:to>
    <xdr:cxnSp macro="">
      <xdr:nvCxnSpPr>
        <xdr:cNvPr id="361" name="Прямая со стрелкой 360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>
          <a:off x="2064139" y="2468218"/>
          <a:ext cx="268006" cy="839500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526676</xdr:colOff>
      <xdr:row>6</xdr:row>
      <xdr:rowOff>573394</xdr:rowOff>
    </xdr:from>
    <xdr:to>
      <xdr:col>5</xdr:col>
      <xdr:colOff>641055</xdr:colOff>
      <xdr:row>6</xdr:row>
      <xdr:rowOff>963919</xdr:rowOff>
    </xdr:to>
    <xdr:sp macro="" textlink="">
      <xdr:nvSpPr>
        <xdr:cNvPr id="365" name="Прямоугольник 364"/>
        <xdr:cNvSpPr/>
      </xdr:nvSpPr>
      <xdr:spPr>
        <a:xfrm>
          <a:off x="3653117" y="4517865"/>
          <a:ext cx="1492703" cy="390525"/>
        </a:xfrm>
        <a:prstGeom prst="rect">
          <a:avLst/>
        </a:prstGeom>
        <a:solidFill>
          <a:schemeClr val="bg1"/>
        </a:solidFill>
        <a:ln w="19050">
          <a:solidFill>
            <a:schemeClr val="dk1">
              <a:shade val="95000"/>
              <a:satMod val="105000"/>
            </a:schemeClr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 b="1">
              <a:solidFill>
                <a:sysClr val="windowText" lastClr="000000"/>
              </a:solidFill>
            </a:rPr>
            <a:t>???</a:t>
          </a:r>
        </a:p>
      </xdr:txBody>
    </xdr:sp>
    <xdr:clientData/>
  </xdr:twoCellAnchor>
  <xdr:twoCellAnchor>
    <xdr:from>
      <xdr:col>4</xdr:col>
      <xdr:colOff>533324</xdr:colOff>
      <xdr:row>6</xdr:row>
      <xdr:rowOff>571501</xdr:rowOff>
    </xdr:from>
    <xdr:to>
      <xdr:col>5</xdr:col>
      <xdr:colOff>631295</xdr:colOff>
      <xdr:row>6</xdr:row>
      <xdr:rowOff>963386</xdr:rowOff>
    </xdr:to>
    <xdr:cxnSp macro="">
      <xdr:nvCxnSpPr>
        <xdr:cNvPr id="366" name="Прямая соединительная линия 365"/>
        <xdr:cNvCxnSpPr/>
      </xdr:nvCxnSpPr>
      <xdr:spPr>
        <a:xfrm flipV="1">
          <a:off x="3659765" y="4515972"/>
          <a:ext cx="1476295" cy="391885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638735</xdr:colOff>
      <xdr:row>6</xdr:row>
      <xdr:rowOff>493060</xdr:rowOff>
    </xdr:from>
    <xdr:to>
      <xdr:col>3</xdr:col>
      <xdr:colOff>710735</xdr:colOff>
      <xdr:row>6</xdr:row>
      <xdr:rowOff>565060</xdr:rowOff>
    </xdr:to>
    <xdr:sp macro="" textlink="">
      <xdr:nvSpPr>
        <xdr:cNvPr id="367" name="5-конечная звезда 366">
          <a:extLst>
            <a:ext uri="{FF2B5EF4-FFF2-40B4-BE49-F238E27FC236}">
              <a16:creationId xmlns:a16="http://schemas.microsoft.com/office/drawing/2014/main" xmlns="" id="{00000000-0008-0000-0900-000023030000}"/>
            </a:ext>
          </a:extLst>
        </xdr:cNvPr>
        <xdr:cNvSpPr/>
      </xdr:nvSpPr>
      <xdr:spPr>
        <a:xfrm>
          <a:off x="2185147" y="4437531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150439</xdr:colOff>
      <xdr:row>6</xdr:row>
      <xdr:rowOff>459441</xdr:rowOff>
    </xdr:from>
    <xdr:to>
      <xdr:col>3</xdr:col>
      <xdr:colOff>790400</xdr:colOff>
      <xdr:row>6</xdr:row>
      <xdr:rowOff>855090</xdr:rowOff>
    </xdr:to>
    <xdr:cxnSp macro="">
      <xdr:nvCxnSpPr>
        <xdr:cNvPr id="370" name="Прямая со стрелкой 369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>
          <a:off x="1694492" y="4389757"/>
          <a:ext cx="639961" cy="395649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806826</xdr:colOff>
      <xdr:row>7</xdr:row>
      <xdr:rowOff>739590</xdr:rowOff>
    </xdr:from>
    <xdr:to>
      <xdr:col>3</xdr:col>
      <xdr:colOff>1473868</xdr:colOff>
      <xdr:row>7</xdr:row>
      <xdr:rowOff>741947</xdr:rowOff>
    </xdr:to>
    <xdr:cxnSp macro="">
      <xdr:nvCxnSpPr>
        <xdr:cNvPr id="376" name="Прямая со стрелкой 375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 flipH="1" flipV="1">
          <a:off x="2350879" y="6193906"/>
          <a:ext cx="667042" cy="2357"/>
        </a:xfrm>
        <a:prstGeom prst="straightConnector1">
          <a:avLst/>
        </a:prstGeom>
        <a:ln w="19050">
          <a:prstDash val="sysDot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972332</xdr:colOff>
      <xdr:row>7</xdr:row>
      <xdr:rowOff>705978</xdr:rowOff>
    </xdr:from>
    <xdr:to>
      <xdr:col>3</xdr:col>
      <xdr:colOff>1044332</xdr:colOff>
      <xdr:row>7</xdr:row>
      <xdr:rowOff>777978</xdr:rowOff>
    </xdr:to>
    <xdr:sp macro="" textlink="">
      <xdr:nvSpPr>
        <xdr:cNvPr id="383" name="5-конечная звезда 382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518744" y="6174449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537888</xdr:colOff>
      <xdr:row>7</xdr:row>
      <xdr:rowOff>713305</xdr:rowOff>
    </xdr:from>
    <xdr:to>
      <xdr:col>3</xdr:col>
      <xdr:colOff>609888</xdr:colOff>
      <xdr:row>7</xdr:row>
      <xdr:rowOff>785305</xdr:rowOff>
    </xdr:to>
    <xdr:sp macro="" textlink="">
      <xdr:nvSpPr>
        <xdr:cNvPr id="384" name="5-конечная звезда 383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2084300" y="6181776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235100</xdr:colOff>
      <xdr:row>8</xdr:row>
      <xdr:rowOff>104808</xdr:rowOff>
    </xdr:from>
    <xdr:to>
      <xdr:col>3</xdr:col>
      <xdr:colOff>781752</xdr:colOff>
      <xdr:row>8</xdr:row>
      <xdr:rowOff>1339006</xdr:rowOff>
    </xdr:to>
    <xdr:sp macro="" textlink="">
      <xdr:nvSpPr>
        <xdr:cNvPr id="386" name="Полилиния 385"/>
        <xdr:cNvSpPr/>
      </xdr:nvSpPr>
      <xdr:spPr>
        <a:xfrm>
          <a:off x="1773754" y="7080039"/>
          <a:ext cx="546652" cy="1234198"/>
        </a:xfrm>
        <a:custGeom>
          <a:avLst/>
          <a:gdLst>
            <a:gd name="connsiteX0" fmla="*/ 0 w 546652"/>
            <a:gd name="connsiteY0" fmla="*/ 0 h 1341783"/>
            <a:gd name="connsiteX1" fmla="*/ 331304 w 546652"/>
            <a:gd name="connsiteY1" fmla="*/ 554935 h 1341783"/>
            <a:gd name="connsiteX2" fmla="*/ 546652 w 546652"/>
            <a:gd name="connsiteY2" fmla="*/ 1341783 h 13417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6652" h="1341783">
              <a:moveTo>
                <a:pt x="0" y="0"/>
              </a:moveTo>
              <a:cubicBezTo>
                <a:pt x="120097" y="165652"/>
                <a:pt x="240195" y="331305"/>
                <a:pt x="331304" y="554935"/>
              </a:cubicBezTo>
              <a:cubicBezTo>
                <a:pt x="422413" y="778566"/>
                <a:pt x="484532" y="1060174"/>
                <a:pt x="546652" y="1341783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785076</xdr:colOff>
      <xdr:row>8</xdr:row>
      <xdr:rowOff>107677</xdr:rowOff>
    </xdr:from>
    <xdr:to>
      <xdr:col>3</xdr:col>
      <xdr:colOff>1331728</xdr:colOff>
      <xdr:row>8</xdr:row>
      <xdr:rowOff>1341875</xdr:rowOff>
    </xdr:to>
    <xdr:sp macro="" textlink="">
      <xdr:nvSpPr>
        <xdr:cNvPr id="387" name="Полилиния 386"/>
        <xdr:cNvSpPr/>
      </xdr:nvSpPr>
      <xdr:spPr>
        <a:xfrm flipH="1">
          <a:off x="2323730" y="7082908"/>
          <a:ext cx="546652" cy="1234198"/>
        </a:xfrm>
        <a:custGeom>
          <a:avLst/>
          <a:gdLst>
            <a:gd name="connsiteX0" fmla="*/ 0 w 546652"/>
            <a:gd name="connsiteY0" fmla="*/ 0 h 1341783"/>
            <a:gd name="connsiteX1" fmla="*/ 331304 w 546652"/>
            <a:gd name="connsiteY1" fmla="*/ 554935 h 1341783"/>
            <a:gd name="connsiteX2" fmla="*/ 546652 w 546652"/>
            <a:gd name="connsiteY2" fmla="*/ 1341783 h 13417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6652" h="1341783">
              <a:moveTo>
                <a:pt x="0" y="0"/>
              </a:moveTo>
              <a:cubicBezTo>
                <a:pt x="120097" y="165652"/>
                <a:pt x="240195" y="331305"/>
                <a:pt x="331304" y="554935"/>
              </a:cubicBezTo>
              <a:cubicBezTo>
                <a:pt x="422413" y="778566"/>
                <a:pt x="484532" y="1060174"/>
                <a:pt x="546652" y="1341783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610734</xdr:colOff>
      <xdr:row>8</xdr:row>
      <xdr:rowOff>219469</xdr:rowOff>
    </xdr:from>
    <xdr:to>
      <xdr:col>3</xdr:col>
      <xdr:colOff>787567</xdr:colOff>
      <xdr:row>8</xdr:row>
      <xdr:rowOff>697876</xdr:rowOff>
    </xdr:to>
    <xdr:sp macro="" textlink="">
      <xdr:nvSpPr>
        <xdr:cNvPr id="388" name="Полилиния 387"/>
        <xdr:cNvSpPr/>
      </xdr:nvSpPr>
      <xdr:spPr>
        <a:xfrm>
          <a:off x="2149388" y="7194700"/>
          <a:ext cx="176833" cy="478407"/>
        </a:xfrm>
        <a:custGeom>
          <a:avLst/>
          <a:gdLst>
            <a:gd name="connsiteX0" fmla="*/ 190187 w 190187"/>
            <a:gd name="connsiteY0" fmla="*/ 0 h 662608"/>
            <a:gd name="connsiteX1" fmla="*/ 90795 w 190187"/>
            <a:gd name="connsiteY1" fmla="*/ 323022 h 662608"/>
            <a:gd name="connsiteX2" fmla="*/ 7969 w 190187"/>
            <a:gd name="connsiteY2" fmla="*/ 563217 h 662608"/>
            <a:gd name="connsiteX3" fmla="*/ 7969 w 190187"/>
            <a:gd name="connsiteY3" fmla="*/ 662608 h 66260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90187" h="662608">
              <a:moveTo>
                <a:pt x="190187" y="0"/>
              </a:moveTo>
              <a:cubicBezTo>
                <a:pt x="155676" y="114576"/>
                <a:pt x="121165" y="229153"/>
                <a:pt x="90795" y="323022"/>
              </a:cubicBezTo>
              <a:cubicBezTo>
                <a:pt x="60425" y="416892"/>
                <a:pt x="21773" y="506619"/>
                <a:pt x="7969" y="563217"/>
              </a:cubicBezTo>
              <a:cubicBezTo>
                <a:pt x="-5835" y="619815"/>
                <a:pt x="1067" y="641211"/>
                <a:pt x="7969" y="662608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799726</xdr:colOff>
      <xdr:row>8</xdr:row>
      <xdr:rowOff>217127</xdr:rowOff>
    </xdr:from>
    <xdr:to>
      <xdr:col>3</xdr:col>
      <xdr:colOff>967991</xdr:colOff>
      <xdr:row>8</xdr:row>
      <xdr:rowOff>695534</xdr:rowOff>
    </xdr:to>
    <xdr:sp macro="" textlink="">
      <xdr:nvSpPr>
        <xdr:cNvPr id="389" name="Полилиния 388"/>
        <xdr:cNvSpPr/>
      </xdr:nvSpPr>
      <xdr:spPr>
        <a:xfrm flipH="1">
          <a:off x="2338380" y="7192358"/>
          <a:ext cx="168265" cy="478407"/>
        </a:xfrm>
        <a:custGeom>
          <a:avLst/>
          <a:gdLst>
            <a:gd name="connsiteX0" fmla="*/ 190187 w 190187"/>
            <a:gd name="connsiteY0" fmla="*/ 0 h 662608"/>
            <a:gd name="connsiteX1" fmla="*/ 90795 w 190187"/>
            <a:gd name="connsiteY1" fmla="*/ 323022 h 662608"/>
            <a:gd name="connsiteX2" fmla="*/ 7969 w 190187"/>
            <a:gd name="connsiteY2" fmla="*/ 563217 h 662608"/>
            <a:gd name="connsiteX3" fmla="*/ 7969 w 190187"/>
            <a:gd name="connsiteY3" fmla="*/ 662608 h 66260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90187" h="662608">
              <a:moveTo>
                <a:pt x="190187" y="0"/>
              </a:moveTo>
              <a:cubicBezTo>
                <a:pt x="155676" y="114576"/>
                <a:pt x="121165" y="229153"/>
                <a:pt x="90795" y="323022"/>
              </a:cubicBezTo>
              <a:cubicBezTo>
                <a:pt x="60425" y="416892"/>
                <a:pt x="21773" y="506619"/>
                <a:pt x="7969" y="563217"/>
              </a:cubicBezTo>
              <a:cubicBezTo>
                <a:pt x="-5835" y="619815"/>
                <a:pt x="1067" y="641211"/>
                <a:pt x="7969" y="662608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612848</xdr:colOff>
      <xdr:row>8</xdr:row>
      <xdr:rowOff>494830</xdr:rowOff>
    </xdr:from>
    <xdr:to>
      <xdr:col>3</xdr:col>
      <xdr:colOff>963232</xdr:colOff>
      <xdr:row>8</xdr:row>
      <xdr:rowOff>845214</xdr:rowOff>
    </xdr:to>
    <xdr:sp macro="" textlink="">
      <xdr:nvSpPr>
        <xdr:cNvPr id="390" name="Овал 389"/>
        <xdr:cNvSpPr/>
      </xdr:nvSpPr>
      <xdr:spPr>
        <a:xfrm>
          <a:off x="2151502" y="7470061"/>
          <a:ext cx="350384" cy="350384"/>
        </a:xfrm>
        <a:prstGeom prst="ellips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787464</xdr:colOff>
      <xdr:row>8</xdr:row>
      <xdr:rowOff>1322397</xdr:rowOff>
    </xdr:from>
    <xdr:to>
      <xdr:col>3</xdr:col>
      <xdr:colOff>787464</xdr:colOff>
      <xdr:row>8</xdr:row>
      <xdr:rowOff>1463720</xdr:rowOff>
    </xdr:to>
    <xdr:cxnSp macro="">
      <xdr:nvCxnSpPr>
        <xdr:cNvPr id="391" name="Прямая со стрелкой 390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>
          <a:off x="2326118" y="8297628"/>
          <a:ext cx="0" cy="141323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791478</xdr:colOff>
      <xdr:row>8</xdr:row>
      <xdr:rowOff>4375</xdr:rowOff>
    </xdr:from>
    <xdr:to>
      <xdr:col>3</xdr:col>
      <xdr:colOff>791478</xdr:colOff>
      <xdr:row>8</xdr:row>
      <xdr:rowOff>232748</xdr:rowOff>
    </xdr:to>
    <xdr:cxnSp macro="">
      <xdr:nvCxnSpPr>
        <xdr:cNvPr id="393" name="Прямая со стрелкой 392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 flipV="1">
          <a:off x="2330132" y="6979606"/>
          <a:ext cx="0" cy="228373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747525</xdr:colOff>
      <xdr:row>8</xdr:row>
      <xdr:rowOff>1407150</xdr:rowOff>
    </xdr:from>
    <xdr:to>
      <xdr:col>3</xdr:col>
      <xdr:colOff>819525</xdr:colOff>
      <xdr:row>8</xdr:row>
      <xdr:rowOff>1479150</xdr:rowOff>
    </xdr:to>
    <xdr:sp macro="" textlink="">
      <xdr:nvSpPr>
        <xdr:cNvPr id="394" name="Овал 39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286179" y="8382381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606633</xdr:colOff>
      <xdr:row>8</xdr:row>
      <xdr:rowOff>757950</xdr:rowOff>
    </xdr:from>
    <xdr:to>
      <xdr:col>3</xdr:col>
      <xdr:colOff>704605</xdr:colOff>
      <xdr:row>8</xdr:row>
      <xdr:rowOff>839593</xdr:rowOff>
    </xdr:to>
    <xdr:sp macro="" textlink="">
      <xdr:nvSpPr>
        <xdr:cNvPr id="395" name="Прямоугольник 394"/>
        <xdr:cNvSpPr/>
      </xdr:nvSpPr>
      <xdr:spPr>
        <a:xfrm rot="-1200000">
          <a:off x="2147198" y="7715341"/>
          <a:ext cx="97972" cy="81643"/>
        </a:xfrm>
        <a:prstGeom prst="rect">
          <a:avLst/>
        </a:prstGeom>
        <a:solidFill>
          <a:schemeClr val="bg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235100</xdr:colOff>
      <xdr:row>9</xdr:row>
      <xdr:rowOff>161084</xdr:rowOff>
    </xdr:from>
    <xdr:to>
      <xdr:col>3</xdr:col>
      <xdr:colOff>781752</xdr:colOff>
      <xdr:row>9</xdr:row>
      <xdr:rowOff>1395282</xdr:rowOff>
    </xdr:to>
    <xdr:sp macro="" textlink="">
      <xdr:nvSpPr>
        <xdr:cNvPr id="398" name="Полилиния 397"/>
        <xdr:cNvSpPr/>
      </xdr:nvSpPr>
      <xdr:spPr>
        <a:xfrm flipV="1">
          <a:off x="1775665" y="8642475"/>
          <a:ext cx="546652" cy="1234198"/>
        </a:xfrm>
        <a:custGeom>
          <a:avLst/>
          <a:gdLst>
            <a:gd name="connsiteX0" fmla="*/ 0 w 546652"/>
            <a:gd name="connsiteY0" fmla="*/ 0 h 1341783"/>
            <a:gd name="connsiteX1" fmla="*/ 331304 w 546652"/>
            <a:gd name="connsiteY1" fmla="*/ 554935 h 1341783"/>
            <a:gd name="connsiteX2" fmla="*/ 546652 w 546652"/>
            <a:gd name="connsiteY2" fmla="*/ 1341783 h 13417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6652" h="1341783">
              <a:moveTo>
                <a:pt x="0" y="0"/>
              </a:moveTo>
              <a:cubicBezTo>
                <a:pt x="120097" y="165652"/>
                <a:pt x="240195" y="331305"/>
                <a:pt x="331304" y="554935"/>
              </a:cubicBezTo>
              <a:cubicBezTo>
                <a:pt x="422413" y="778566"/>
                <a:pt x="484532" y="1060174"/>
                <a:pt x="546652" y="1341783"/>
              </a:cubicBezTo>
            </a:path>
          </a:pathLst>
        </a:custGeom>
        <a:noFill/>
        <a:ln w="19050">
          <a:solidFill>
            <a:schemeClr val="tx1"/>
          </a:solidFill>
          <a:headEnd type="triangle" w="med" len="lg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785076</xdr:colOff>
      <xdr:row>9</xdr:row>
      <xdr:rowOff>158215</xdr:rowOff>
    </xdr:from>
    <xdr:to>
      <xdr:col>3</xdr:col>
      <xdr:colOff>1331728</xdr:colOff>
      <xdr:row>9</xdr:row>
      <xdr:rowOff>1392413</xdr:rowOff>
    </xdr:to>
    <xdr:sp macro="" textlink="">
      <xdr:nvSpPr>
        <xdr:cNvPr id="399" name="Полилиния 398"/>
        <xdr:cNvSpPr/>
      </xdr:nvSpPr>
      <xdr:spPr>
        <a:xfrm flipH="1" flipV="1">
          <a:off x="2325641" y="8639606"/>
          <a:ext cx="546652" cy="1234198"/>
        </a:xfrm>
        <a:custGeom>
          <a:avLst/>
          <a:gdLst>
            <a:gd name="connsiteX0" fmla="*/ 0 w 546652"/>
            <a:gd name="connsiteY0" fmla="*/ 0 h 1341783"/>
            <a:gd name="connsiteX1" fmla="*/ 331304 w 546652"/>
            <a:gd name="connsiteY1" fmla="*/ 554935 h 1341783"/>
            <a:gd name="connsiteX2" fmla="*/ 546652 w 546652"/>
            <a:gd name="connsiteY2" fmla="*/ 1341783 h 13417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6652" h="1341783">
              <a:moveTo>
                <a:pt x="0" y="0"/>
              </a:moveTo>
              <a:cubicBezTo>
                <a:pt x="120097" y="165652"/>
                <a:pt x="240195" y="331305"/>
                <a:pt x="331304" y="554935"/>
              </a:cubicBezTo>
              <a:cubicBezTo>
                <a:pt x="422413" y="778566"/>
                <a:pt x="484532" y="1060174"/>
                <a:pt x="546652" y="1341783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610734</xdr:colOff>
      <xdr:row>9</xdr:row>
      <xdr:rowOff>802214</xdr:rowOff>
    </xdr:from>
    <xdr:to>
      <xdr:col>3</xdr:col>
      <xdr:colOff>787567</xdr:colOff>
      <xdr:row>9</xdr:row>
      <xdr:rowOff>1280621</xdr:rowOff>
    </xdr:to>
    <xdr:sp macro="" textlink="">
      <xdr:nvSpPr>
        <xdr:cNvPr id="400" name="Полилиния 399"/>
        <xdr:cNvSpPr/>
      </xdr:nvSpPr>
      <xdr:spPr>
        <a:xfrm flipV="1">
          <a:off x="2151299" y="9283605"/>
          <a:ext cx="176833" cy="478407"/>
        </a:xfrm>
        <a:custGeom>
          <a:avLst/>
          <a:gdLst>
            <a:gd name="connsiteX0" fmla="*/ 190187 w 190187"/>
            <a:gd name="connsiteY0" fmla="*/ 0 h 662608"/>
            <a:gd name="connsiteX1" fmla="*/ 90795 w 190187"/>
            <a:gd name="connsiteY1" fmla="*/ 323022 h 662608"/>
            <a:gd name="connsiteX2" fmla="*/ 7969 w 190187"/>
            <a:gd name="connsiteY2" fmla="*/ 563217 h 662608"/>
            <a:gd name="connsiteX3" fmla="*/ 7969 w 190187"/>
            <a:gd name="connsiteY3" fmla="*/ 662608 h 66260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90187" h="662608">
              <a:moveTo>
                <a:pt x="190187" y="0"/>
              </a:moveTo>
              <a:cubicBezTo>
                <a:pt x="155676" y="114576"/>
                <a:pt x="121165" y="229153"/>
                <a:pt x="90795" y="323022"/>
              </a:cubicBezTo>
              <a:cubicBezTo>
                <a:pt x="60425" y="416892"/>
                <a:pt x="21773" y="506619"/>
                <a:pt x="7969" y="563217"/>
              </a:cubicBezTo>
              <a:cubicBezTo>
                <a:pt x="-5835" y="619815"/>
                <a:pt x="1067" y="641211"/>
                <a:pt x="7969" y="662608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799726</xdr:colOff>
      <xdr:row>9</xdr:row>
      <xdr:rowOff>804556</xdr:rowOff>
    </xdr:from>
    <xdr:to>
      <xdr:col>3</xdr:col>
      <xdr:colOff>967991</xdr:colOff>
      <xdr:row>9</xdr:row>
      <xdr:rowOff>1282963</xdr:rowOff>
    </xdr:to>
    <xdr:sp macro="" textlink="">
      <xdr:nvSpPr>
        <xdr:cNvPr id="401" name="Полилиния 400"/>
        <xdr:cNvSpPr/>
      </xdr:nvSpPr>
      <xdr:spPr>
        <a:xfrm flipH="1" flipV="1">
          <a:off x="2340291" y="9285947"/>
          <a:ext cx="168265" cy="478407"/>
        </a:xfrm>
        <a:custGeom>
          <a:avLst/>
          <a:gdLst>
            <a:gd name="connsiteX0" fmla="*/ 190187 w 190187"/>
            <a:gd name="connsiteY0" fmla="*/ 0 h 662608"/>
            <a:gd name="connsiteX1" fmla="*/ 90795 w 190187"/>
            <a:gd name="connsiteY1" fmla="*/ 323022 h 662608"/>
            <a:gd name="connsiteX2" fmla="*/ 7969 w 190187"/>
            <a:gd name="connsiteY2" fmla="*/ 563217 h 662608"/>
            <a:gd name="connsiteX3" fmla="*/ 7969 w 190187"/>
            <a:gd name="connsiteY3" fmla="*/ 662608 h 66260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90187" h="662608">
              <a:moveTo>
                <a:pt x="190187" y="0"/>
              </a:moveTo>
              <a:cubicBezTo>
                <a:pt x="155676" y="114576"/>
                <a:pt x="121165" y="229153"/>
                <a:pt x="90795" y="323022"/>
              </a:cubicBezTo>
              <a:cubicBezTo>
                <a:pt x="60425" y="416892"/>
                <a:pt x="21773" y="506619"/>
                <a:pt x="7969" y="563217"/>
              </a:cubicBezTo>
              <a:cubicBezTo>
                <a:pt x="-5835" y="619815"/>
                <a:pt x="1067" y="641211"/>
                <a:pt x="7969" y="662608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612848</xdr:colOff>
      <xdr:row>9</xdr:row>
      <xdr:rowOff>654876</xdr:rowOff>
    </xdr:from>
    <xdr:to>
      <xdr:col>3</xdr:col>
      <xdr:colOff>963232</xdr:colOff>
      <xdr:row>9</xdr:row>
      <xdr:rowOff>1005260</xdr:rowOff>
    </xdr:to>
    <xdr:sp macro="" textlink="">
      <xdr:nvSpPr>
        <xdr:cNvPr id="402" name="Овал 401"/>
        <xdr:cNvSpPr/>
      </xdr:nvSpPr>
      <xdr:spPr>
        <a:xfrm flipV="1">
          <a:off x="2153413" y="9136267"/>
          <a:ext cx="350384" cy="350384"/>
        </a:xfrm>
        <a:prstGeom prst="ellips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787464</xdr:colOff>
      <xdr:row>9</xdr:row>
      <xdr:rowOff>36370</xdr:rowOff>
    </xdr:from>
    <xdr:to>
      <xdr:col>3</xdr:col>
      <xdr:colOff>787464</xdr:colOff>
      <xdr:row>9</xdr:row>
      <xdr:rowOff>177693</xdr:rowOff>
    </xdr:to>
    <xdr:cxnSp macro="">
      <xdr:nvCxnSpPr>
        <xdr:cNvPr id="403" name="Прямая со стрелкой 402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 flipV="1">
          <a:off x="2328029" y="8517761"/>
          <a:ext cx="0" cy="141323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791478</xdr:colOff>
      <xdr:row>9</xdr:row>
      <xdr:rowOff>1267342</xdr:rowOff>
    </xdr:from>
    <xdr:to>
      <xdr:col>3</xdr:col>
      <xdr:colOff>791478</xdr:colOff>
      <xdr:row>9</xdr:row>
      <xdr:rowOff>1441174</xdr:rowOff>
    </xdr:to>
    <xdr:cxnSp macro="">
      <xdr:nvCxnSpPr>
        <xdr:cNvPr id="404" name="Прямая со стрелкой 403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>
          <a:off x="2332043" y="9748733"/>
          <a:ext cx="0" cy="173832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755806</xdr:colOff>
      <xdr:row>9</xdr:row>
      <xdr:rowOff>1395854</xdr:rowOff>
    </xdr:from>
    <xdr:to>
      <xdr:col>3</xdr:col>
      <xdr:colOff>827806</xdr:colOff>
      <xdr:row>9</xdr:row>
      <xdr:rowOff>1467854</xdr:rowOff>
    </xdr:to>
    <xdr:sp macro="" textlink="">
      <xdr:nvSpPr>
        <xdr:cNvPr id="405" name="Овал 40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flipV="1">
          <a:off x="2296371" y="9877245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631481</xdr:colOff>
      <xdr:row>9</xdr:row>
      <xdr:rowOff>942107</xdr:rowOff>
    </xdr:from>
    <xdr:to>
      <xdr:col>3</xdr:col>
      <xdr:colOff>729453</xdr:colOff>
      <xdr:row>9</xdr:row>
      <xdr:rowOff>1023750</xdr:rowOff>
    </xdr:to>
    <xdr:sp macro="" textlink="">
      <xdr:nvSpPr>
        <xdr:cNvPr id="406" name="Прямоугольник 405"/>
        <xdr:cNvSpPr/>
      </xdr:nvSpPr>
      <xdr:spPr>
        <a:xfrm rot="1200000" flipV="1">
          <a:off x="2172046" y="9423498"/>
          <a:ext cx="97972" cy="81643"/>
        </a:xfrm>
        <a:prstGeom prst="rect">
          <a:avLst/>
        </a:prstGeom>
        <a:solidFill>
          <a:schemeClr val="bg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809848</xdr:colOff>
      <xdr:row>13</xdr:row>
      <xdr:rowOff>67235</xdr:rowOff>
    </xdr:from>
    <xdr:to>
      <xdr:col>3</xdr:col>
      <xdr:colOff>809848</xdr:colOff>
      <xdr:row>13</xdr:row>
      <xdr:rowOff>1356775</xdr:rowOff>
    </xdr:to>
    <xdr:cxnSp macro="">
      <xdr:nvCxnSpPr>
        <xdr:cNvPr id="416" name="Прямая со стрелкой 41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356260" y="13155706"/>
          <a:ext cx="0" cy="1289540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768855</xdr:colOff>
      <xdr:row>13</xdr:row>
      <xdr:rowOff>1339079</xdr:rowOff>
    </xdr:from>
    <xdr:to>
      <xdr:col>3</xdr:col>
      <xdr:colOff>840855</xdr:colOff>
      <xdr:row>13</xdr:row>
      <xdr:rowOff>1411079</xdr:rowOff>
    </xdr:to>
    <xdr:sp macro="" textlink="">
      <xdr:nvSpPr>
        <xdr:cNvPr id="417" name="Овал 416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315267" y="14427550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972326</xdr:colOff>
      <xdr:row>13</xdr:row>
      <xdr:rowOff>717184</xdr:rowOff>
    </xdr:from>
    <xdr:to>
      <xdr:col>3</xdr:col>
      <xdr:colOff>1044326</xdr:colOff>
      <xdr:row>13</xdr:row>
      <xdr:rowOff>789184</xdr:rowOff>
    </xdr:to>
    <xdr:sp macro="" textlink="">
      <xdr:nvSpPr>
        <xdr:cNvPr id="418" name="5-конечная звезда 417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518738" y="13805655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560294</xdr:colOff>
      <xdr:row>13</xdr:row>
      <xdr:rowOff>724511</xdr:rowOff>
    </xdr:from>
    <xdr:to>
      <xdr:col>3</xdr:col>
      <xdr:colOff>632294</xdr:colOff>
      <xdr:row>13</xdr:row>
      <xdr:rowOff>796511</xdr:rowOff>
    </xdr:to>
    <xdr:sp macro="" textlink="">
      <xdr:nvSpPr>
        <xdr:cNvPr id="419" name="5-конечная звезда 418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2106706" y="13812982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794665</xdr:colOff>
      <xdr:row>12</xdr:row>
      <xdr:rowOff>100853</xdr:rowOff>
    </xdr:from>
    <xdr:to>
      <xdr:col>3</xdr:col>
      <xdr:colOff>794665</xdr:colOff>
      <xdr:row>12</xdr:row>
      <xdr:rowOff>1426785</xdr:rowOff>
    </xdr:to>
    <xdr:cxnSp macro="">
      <xdr:nvCxnSpPr>
        <xdr:cNvPr id="422" name="Прямая со стрелкой 421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 rot="10800000" flipV="1">
          <a:off x="2341077" y="13189324"/>
          <a:ext cx="0" cy="1325932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761999</xdr:colOff>
      <xdr:row>12</xdr:row>
      <xdr:rowOff>1375074</xdr:rowOff>
    </xdr:from>
    <xdr:to>
      <xdr:col>3</xdr:col>
      <xdr:colOff>833999</xdr:colOff>
      <xdr:row>12</xdr:row>
      <xdr:rowOff>1447074</xdr:rowOff>
    </xdr:to>
    <xdr:sp macro="" textlink="">
      <xdr:nvSpPr>
        <xdr:cNvPr id="423" name="Овал 42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flipH="1">
          <a:off x="2308411" y="14463545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794467</xdr:colOff>
      <xdr:row>12</xdr:row>
      <xdr:rowOff>758389</xdr:rowOff>
    </xdr:from>
    <xdr:to>
      <xdr:col>3</xdr:col>
      <xdr:colOff>1498488</xdr:colOff>
      <xdr:row>12</xdr:row>
      <xdr:rowOff>758389</xdr:rowOff>
    </xdr:to>
    <xdr:cxnSp macro="">
      <xdr:nvCxnSpPr>
        <xdr:cNvPr id="424" name="Прямая соединительная линия 423"/>
        <xdr:cNvCxnSpPr/>
      </xdr:nvCxnSpPr>
      <xdr:spPr>
        <a:xfrm>
          <a:off x="2340879" y="13846860"/>
          <a:ext cx="704021" cy="0"/>
        </a:xfrm>
        <a:prstGeom prst="line">
          <a:avLst/>
        </a:prstGeom>
        <a:ln w="1905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76200</xdr:colOff>
      <xdr:row>13</xdr:row>
      <xdr:rowOff>322795</xdr:rowOff>
    </xdr:from>
    <xdr:ext cx="609653" cy="609653"/>
    <xdr:pic>
      <xdr:nvPicPr>
        <xdr:cNvPr id="124" name="Рисунок 123">
          <a:extLst>
            <a:ext uri="{FF2B5EF4-FFF2-40B4-BE49-F238E27FC236}">
              <a16:creationId xmlns:a16="http://schemas.microsoft.com/office/drawing/2014/main" xmlns="" id="{00000000-0008-0000-09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0" y="7780870"/>
          <a:ext cx="609653" cy="609653"/>
        </a:xfrm>
        <a:prstGeom prst="rect">
          <a:avLst/>
        </a:prstGeom>
        <a:ln w="19050">
          <a:noFill/>
        </a:ln>
      </xdr:spPr>
    </xdr:pic>
    <xdr:clientData/>
  </xdr:oneCellAnchor>
  <xdr:twoCellAnchor editAs="oneCell">
    <xdr:from>
      <xdr:col>4</xdr:col>
      <xdr:colOff>952500</xdr:colOff>
      <xdr:row>12</xdr:row>
      <xdr:rowOff>143493</xdr:rowOff>
    </xdr:from>
    <xdr:to>
      <xdr:col>5</xdr:col>
      <xdr:colOff>173235</xdr:colOff>
      <xdr:row>12</xdr:row>
      <xdr:rowOff>753146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7091" y="5079175"/>
          <a:ext cx="606189" cy="609653"/>
        </a:xfrm>
        <a:prstGeom prst="rect">
          <a:avLst/>
        </a:prstGeom>
        <a:ln w="19050">
          <a:noFill/>
        </a:ln>
      </xdr:spPr>
    </xdr:pic>
    <xdr:clientData/>
  </xdr:twoCellAnchor>
  <xdr:twoCellAnchor>
    <xdr:from>
      <xdr:col>3</xdr:col>
      <xdr:colOff>776236</xdr:colOff>
      <xdr:row>4</xdr:row>
      <xdr:rowOff>92048</xdr:rowOff>
    </xdr:from>
    <xdr:to>
      <xdr:col>3</xdr:col>
      <xdr:colOff>776236</xdr:colOff>
      <xdr:row>4</xdr:row>
      <xdr:rowOff>1381588</xdr:rowOff>
    </xdr:to>
    <xdr:cxnSp macro="">
      <xdr:nvCxnSpPr>
        <xdr:cNvPr id="193" name="Прямая со стрелкой 192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319286" y="90884348"/>
          <a:ext cx="0" cy="1289540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735243</xdr:colOff>
      <xdr:row>4</xdr:row>
      <xdr:rowOff>1363892</xdr:rowOff>
    </xdr:from>
    <xdr:to>
      <xdr:col>3</xdr:col>
      <xdr:colOff>807243</xdr:colOff>
      <xdr:row>4</xdr:row>
      <xdr:rowOff>1435892</xdr:rowOff>
    </xdr:to>
    <xdr:sp macro="" textlink="">
      <xdr:nvSpPr>
        <xdr:cNvPr id="194" name="Овал 193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278293" y="9215619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938714</xdr:colOff>
      <xdr:row>4</xdr:row>
      <xdr:rowOff>741997</xdr:rowOff>
    </xdr:from>
    <xdr:to>
      <xdr:col>3</xdr:col>
      <xdr:colOff>1010714</xdr:colOff>
      <xdr:row>4</xdr:row>
      <xdr:rowOff>813997</xdr:rowOff>
    </xdr:to>
    <xdr:sp macro="" textlink="">
      <xdr:nvSpPr>
        <xdr:cNvPr id="195" name="5-конечная звезда 194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481764" y="91534297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526682</xdr:colOff>
      <xdr:row>4</xdr:row>
      <xdr:rowOff>749324</xdr:rowOff>
    </xdr:from>
    <xdr:to>
      <xdr:col>3</xdr:col>
      <xdr:colOff>598682</xdr:colOff>
      <xdr:row>4</xdr:row>
      <xdr:rowOff>821324</xdr:rowOff>
    </xdr:to>
    <xdr:sp macro="" textlink="">
      <xdr:nvSpPr>
        <xdr:cNvPr id="196" name="5-конечная звезда 195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2069732" y="91541624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1157654</xdr:colOff>
      <xdr:row>4</xdr:row>
      <xdr:rowOff>776654</xdr:rowOff>
    </xdr:from>
    <xdr:to>
      <xdr:col>3</xdr:col>
      <xdr:colOff>1157654</xdr:colOff>
      <xdr:row>4</xdr:row>
      <xdr:rowOff>776654</xdr:rowOff>
    </xdr:to>
    <xdr:cxnSp macro="">
      <xdr:nvCxnSpPr>
        <xdr:cNvPr id="197" name="Прямая соединительная линия 196"/>
        <xdr:cNvCxnSpPr/>
      </xdr:nvCxnSpPr>
      <xdr:spPr>
        <a:xfrm>
          <a:off x="2700704" y="91568954"/>
          <a:ext cx="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291353</xdr:colOff>
      <xdr:row>0</xdr:row>
      <xdr:rowOff>145677</xdr:rowOff>
    </xdr:from>
    <xdr:to>
      <xdr:col>2</xdr:col>
      <xdr:colOff>242126</xdr:colOff>
      <xdr:row>2</xdr:row>
      <xdr:rowOff>121151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353" y="145677"/>
          <a:ext cx="914479" cy="423709"/>
        </a:xfrm>
        <a:prstGeom prst="rect">
          <a:avLst/>
        </a:prstGeom>
      </xdr:spPr>
    </xdr:pic>
    <xdr:clientData/>
  </xdr:twoCellAnchor>
  <xdr:twoCellAnchor editAs="oneCell">
    <xdr:from>
      <xdr:col>4</xdr:col>
      <xdr:colOff>504264</xdr:colOff>
      <xdr:row>4</xdr:row>
      <xdr:rowOff>113423</xdr:rowOff>
    </xdr:from>
    <xdr:to>
      <xdr:col>4</xdr:col>
      <xdr:colOff>1120720</xdr:colOff>
      <xdr:row>4</xdr:row>
      <xdr:rowOff>723076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8464" y="989723"/>
          <a:ext cx="616456" cy="609653"/>
        </a:xfrm>
        <a:prstGeom prst="rect">
          <a:avLst/>
        </a:prstGeom>
      </xdr:spPr>
    </xdr:pic>
    <xdr:clientData/>
  </xdr:twoCellAnchor>
  <xdr:twoCellAnchor editAs="oneCell">
    <xdr:from>
      <xdr:col>5</xdr:col>
      <xdr:colOff>129744</xdr:colOff>
      <xdr:row>4</xdr:row>
      <xdr:rowOff>100853</xdr:rowOff>
    </xdr:from>
    <xdr:to>
      <xdr:col>5</xdr:col>
      <xdr:colOff>744519</xdr:colOff>
      <xdr:row>4</xdr:row>
      <xdr:rowOff>710506</xdr:rowOff>
    </xdr:to>
    <xdr:pic>
      <xdr:nvPicPr>
        <xdr:cNvPr id="225" name="Рисунок 224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4509" y="997324"/>
          <a:ext cx="614775" cy="609653"/>
        </a:xfrm>
        <a:prstGeom prst="rect">
          <a:avLst/>
        </a:prstGeom>
        <a:ln w="19050">
          <a:noFill/>
        </a:ln>
      </xdr:spPr>
    </xdr:pic>
    <xdr:clientData/>
  </xdr:twoCellAnchor>
  <xdr:twoCellAnchor>
    <xdr:from>
      <xdr:col>3</xdr:col>
      <xdr:colOff>852767</xdr:colOff>
      <xdr:row>9</xdr:row>
      <xdr:rowOff>283250</xdr:rowOff>
    </xdr:from>
    <xdr:to>
      <xdr:col>3</xdr:col>
      <xdr:colOff>998442</xdr:colOff>
      <xdr:row>9</xdr:row>
      <xdr:rowOff>302559</xdr:rowOff>
    </xdr:to>
    <xdr:cxnSp macro="">
      <xdr:nvCxnSpPr>
        <xdr:cNvPr id="226" name="Прямая со стрелкой 22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 flipV="1">
          <a:off x="2395817" y="4702850"/>
          <a:ext cx="145675" cy="19309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1039250</xdr:colOff>
      <xdr:row>6</xdr:row>
      <xdr:rowOff>45008</xdr:rowOff>
    </xdr:from>
    <xdr:to>
      <xdr:col>3</xdr:col>
      <xdr:colOff>1208908</xdr:colOff>
      <xdr:row>6</xdr:row>
      <xdr:rowOff>435491</xdr:rowOff>
    </xdr:to>
    <xdr:sp macro="" textlink="">
      <xdr:nvSpPr>
        <xdr:cNvPr id="236" name="Полилиния 235"/>
        <xdr:cNvSpPr/>
      </xdr:nvSpPr>
      <xdr:spPr>
        <a:xfrm>
          <a:off x="2582300" y="2950133"/>
          <a:ext cx="169658" cy="390483"/>
        </a:xfrm>
        <a:custGeom>
          <a:avLst/>
          <a:gdLst>
            <a:gd name="connsiteX0" fmla="*/ 4018 w 530695"/>
            <a:gd name="connsiteY0" fmla="*/ 1221441 h 1221441"/>
            <a:gd name="connsiteX1" fmla="*/ 15224 w 530695"/>
            <a:gd name="connsiteY1" fmla="*/ 762000 h 1221441"/>
            <a:gd name="connsiteX2" fmla="*/ 127283 w 530695"/>
            <a:gd name="connsiteY2" fmla="*/ 515471 h 1221441"/>
            <a:gd name="connsiteX3" fmla="*/ 351401 w 530695"/>
            <a:gd name="connsiteY3" fmla="*/ 212912 h 1221441"/>
            <a:gd name="connsiteX4" fmla="*/ 530695 w 530695"/>
            <a:gd name="connsiteY4" fmla="*/ 0 h 122144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30695" h="1221441">
              <a:moveTo>
                <a:pt x="4018" y="1221441"/>
              </a:moveTo>
              <a:cubicBezTo>
                <a:pt x="-651" y="1050551"/>
                <a:pt x="-5320" y="879662"/>
                <a:pt x="15224" y="762000"/>
              </a:cubicBezTo>
              <a:cubicBezTo>
                <a:pt x="35768" y="644338"/>
                <a:pt x="71254" y="606986"/>
                <a:pt x="127283" y="515471"/>
              </a:cubicBezTo>
              <a:cubicBezTo>
                <a:pt x="183312" y="423956"/>
                <a:pt x="284166" y="298824"/>
                <a:pt x="351401" y="212912"/>
              </a:cubicBezTo>
              <a:cubicBezTo>
                <a:pt x="418636" y="127000"/>
                <a:pt x="474665" y="63500"/>
                <a:pt x="530695" y="0"/>
              </a:cubicBezTo>
            </a:path>
          </a:pathLst>
        </a:custGeom>
        <a:noFill/>
        <a:ln w="19050">
          <a:solidFill>
            <a:schemeClr val="tx1"/>
          </a:solidFill>
          <a:prstDash val="solid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1007071</xdr:colOff>
      <xdr:row>6</xdr:row>
      <xdr:rowOff>384023</xdr:rowOff>
    </xdr:from>
    <xdr:to>
      <xdr:col>3</xdr:col>
      <xdr:colOff>1079071</xdr:colOff>
      <xdr:row>6</xdr:row>
      <xdr:rowOff>456023</xdr:rowOff>
    </xdr:to>
    <xdr:sp macro="" textlink="">
      <xdr:nvSpPr>
        <xdr:cNvPr id="238" name="Овал 237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550121" y="3289148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871160</xdr:colOff>
      <xdr:row>7</xdr:row>
      <xdr:rowOff>58615</xdr:rowOff>
    </xdr:from>
    <xdr:to>
      <xdr:col>3</xdr:col>
      <xdr:colOff>1040818</xdr:colOff>
      <xdr:row>7</xdr:row>
      <xdr:rowOff>449098</xdr:rowOff>
    </xdr:to>
    <xdr:sp macro="" textlink="">
      <xdr:nvSpPr>
        <xdr:cNvPr id="239" name="Полилиния 238"/>
        <xdr:cNvSpPr/>
      </xdr:nvSpPr>
      <xdr:spPr>
        <a:xfrm flipH="1">
          <a:off x="2414210" y="3468565"/>
          <a:ext cx="169658" cy="390483"/>
        </a:xfrm>
        <a:custGeom>
          <a:avLst/>
          <a:gdLst>
            <a:gd name="connsiteX0" fmla="*/ 4018 w 530695"/>
            <a:gd name="connsiteY0" fmla="*/ 1221441 h 1221441"/>
            <a:gd name="connsiteX1" fmla="*/ 15224 w 530695"/>
            <a:gd name="connsiteY1" fmla="*/ 762000 h 1221441"/>
            <a:gd name="connsiteX2" fmla="*/ 127283 w 530695"/>
            <a:gd name="connsiteY2" fmla="*/ 515471 h 1221441"/>
            <a:gd name="connsiteX3" fmla="*/ 351401 w 530695"/>
            <a:gd name="connsiteY3" fmla="*/ 212912 h 1221441"/>
            <a:gd name="connsiteX4" fmla="*/ 530695 w 530695"/>
            <a:gd name="connsiteY4" fmla="*/ 0 h 122144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30695" h="1221441">
              <a:moveTo>
                <a:pt x="4018" y="1221441"/>
              </a:moveTo>
              <a:cubicBezTo>
                <a:pt x="-651" y="1050551"/>
                <a:pt x="-5320" y="879662"/>
                <a:pt x="15224" y="762000"/>
              </a:cubicBezTo>
              <a:cubicBezTo>
                <a:pt x="35768" y="644338"/>
                <a:pt x="71254" y="606986"/>
                <a:pt x="127283" y="515471"/>
              </a:cubicBezTo>
              <a:cubicBezTo>
                <a:pt x="183312" y="423956"/>
                <a:pt x="284166" y="298824"/>
                <a:pt x="351401" y="212912"/>
              </a:cubicBezTo>
              <a:cubicBezTo>
                <a:pt x="418636" y="127000"/>
                <a:pt x="474665" y="63500"/>
                <a:pt x="530695" y="0"/>
              </a:cubicBezTo>
            </a:path>
          </a:pathLst>
        </a:custGeom>
        <a:noFill/>
        <a:ln w="19050">
          <a:solidFill>
            <a:schemeClr val="tx1"/>
          </a:solidFill>
          <a:prstDash val="solid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1007071</xdr:colOff>
      <xdr:row>7</xdr:row>
      <xdr:rowOff>397630</xdr:rowOff>
    </xdr:from>
    <xdr:to>
      <xdr:col>3</xdr:col>
      <xdr:colOff>1079071</xdr:colOff>
      <xdr:row>7</xdr:row>
      <xdr:rowOff>469630</xdr:rowOff>
    </xdr:to>
    <xdr:sp macro="" textlink="">
      <xdr:nvSpPr>
        <xdr:cNvPr id="240" name="Овал 239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550121" y="3807580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1015125</xdr:colOff>
      <xdr:row>11</xdr:row>
      <xdr:rowOff>399217</xdr:rowOff>
    </xdr:from>
    <xdr:to>
      <xdr:col>3</xdr:col>
      <xdr:colOff>1087125</xdr:colOff>
      <xdr:row>11</xdr:row>
      <xdr:rowOff>471217</xdr:rowOff>
    </xdr:to>
    <xdr:sp macro="" textlink="">
      <xdr:nvSpPr>
        <xdr:cNvPr id="244" name="Овал 243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558175" y="5828467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882366</xdr:colOff>
      <xdr:row>11</xdr:row>
      <xdr:rowOff>47410</xdr:rowOff>
    </xdr:from>
    <xdr:to>
      <xdr:col>3</xdr:col>
      <xdr:colOff>1052024</xdr:colOff>
      <xdr:row>11</xdr:row>
      <xdr:rowOff>437893</xdr:rowOff>
    </xdr:to>
    <xdr:sp macro="" textlink="">
      <xdr:nvSpPr>
        <xdr:cNvPr id="245" name="Полилиния 244"/>
        <xdr:cNvSpPr/>
      </xdr:nvSpPr>
      <xdr:spPr>
        <a:xfrm flipH="1">
          <a:off x="2425416" y="5476660"/>
          <a:ext cx="169658" cy="390483"/>
        </a:xfrm>
        <a:custGeom>
          <a:avLst/>
          <a:gdLst>
            <a:gd name="connsiteX0" fmla="*/ 4018 w 530695"/>
            <a:gd name="connsiteY0" fmla="*/ 1221441 h 1221441"/>
            <a:gd name="connsiteX1" fmla="*/ 15224 w 530695"/>
            <a:gd name="connsiteY1" fmla="*/ 762000 h 1221441"/>
            <a:gd name="connsiteX2" fmla="*/ 127283 w 530695"/>
            <a:gd name="connsiteY2" fmla="*/ 515471 h 1221441"/>
            <a:gd name="connsiteX3" fmla="*/ 351401 w 530695"/>
            <a:gd name="connsiteY3" fmla="*/ 212912 h 1221441"/>
            <a:gd name="connsiteX4" fmla="*/ 530695 w 530695"/>
            <a:gd name="connsiteY4" fmla="*/ 0 h 122144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30695" h="1221441">
              <a:moveTo>
                <a:pt x="4018" y="1221441"/>
              </a:moveTo>
              <a:cubicBezTo>
                <a:pt x="-651" y="1050551"/>
                <a:pt x="-5320" y="879662"/>
                <a:pt x="15224" y="762000"/>
              </a:cubicBezTo>
              <a:cubicBezTo>
                <a:pt x="35768" y="644338"/>
                <a:pt x="71254" y="606986"/>
                <a:pt x="127283" y="515471"/>
              </a:cubicBezTo>
              <a:cubicBezTo>
                <a:pt x="183312" y="423956"/>
                <a:pt x="284166" y="298824"/>
                <a:pt x="351401" y="212912"/>
              </a:cubicBezTo>
              <a:cubicBezTo>
                <a:pt x="418636" y="127000"/>
                <a:pt x="474665" y="63500"/>
                <a:pt x="530695" y="0"/>
              </a:cubicBezTo>
            </a:path>
          </a:pathLst>
        </a:custGeom>
        <a:noFill/>
        <a:ln w="19050">
          <a:solidFill>
            <a:schemeClr val="tx1"/>
          </a:solidFill>
          <a:prstDash val="solid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100853</xdr:colOff>
      <xdr:row>12</xdr:row>
      <xdr:rowOff>762199</xdr:rowOff>
    </xdr:from>
    <xdr:to>
      <xdr:col>3</xdr:col>
      <xdr:colOff>1482813</xdr:colOff>
      <xdr:row>12</xdr:row>
      <xdr:rowOff>762199</xdr:rowOff>
    </xdr:to>
    <xdr:cxnSp macro="">
      <xdr:nvCxnSpPr>
        <xdr:cNvPr id="246" name="Прямая со стрелкой 245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>
          <a:off x="1647265" y="5703993"/>
          <a:ext cx="1381960" cy="0"/>
        </a:xfrm>
        <a:prstGeom prst="straightConnector1">
          <a:avLst/>
        </a:prstGeom>
        <a:ln w="19050"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776775</xdr:colOff>
      <xdr:row>12</xdr:row>
      <xdr:rowOff>1400424</xdr:rowOff>
    </xdr:from>
    <xdr:to>
      <xdr:col>3</xdr:col>
      <xdr:colOff>848775</xdr:colOff>
      <xdr:row>12</xdr:row>
      <xdr:rowOff>1472424</xdr:rowOff>
    </xdr:to>
    <xdr:sp macro="" textlink="">
      <xdr:nvSpPr>
        <xdr:cNvPr id="247" name="Овал 24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rot="16200000">
          <a:off x="2323187" y="6342218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814417</xdr:colOff>
      <xdr:row>12</xdr:row>
      <xdr:rowOff>762000</xdr:rowOff>
    </xdr:from>
    <xdr:to>
      <xdr:col>3</xdr:col>
      <xdr:colOff>814417</xdr:colOff>
      <xdr:row>12</xdr:row>
      <xdr:rowOff>1466021</xdr:rowOff>
    </xdr:to>
    <xdr:cxnSp macro="">
      <xdr:nvCxnSpPr>
        <xdr:cNvPr id="248" name="Прямая соединительная линия 247"/>
        <xdr:cNvCxnSpPr/>
      </xdr:nvCxnSpPr>
      <xdr:spPr>
        <a:xfrm rot="16200000" flipH="1">
          <a:off x="2008818" y="6055805"/>
          <a:ext cx="704021" cy="0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814418</xdr:colOff>
      <xdr:row>12</xdr:row>
      <xdr:rowOff>67237</xdr:rowOff>
    </xdr:from>
    <xdr:to>
      <xdr:col>3</xdr:col>
      <xdr:colOff>814418</xdr:colOff>
      <xdr:row>12</xdr:row>
      <xdr:rowOff>771258</xdr:rowOff>
    </xdr:to>
    <xdr:cxnSp macro="">
      <xdr:nvCxnSpPr>
        <xdr:cNvPr id="250" name="Прямая соединительная линия 249"/>
        <xdr:cNvCxnSpPr/>
      </xdr:nvCxnSpPr>
      <xdr:spPr>
        <a:xfrm rot="16200000" flipH="1">
          <a:off x="2008819" y="5361042"/>
          <a:ext cx="704021" cy="0"/>
        </a:xfrm>
        <a:prstGeom prst="line">
          <a:avLst/>
        </a:prstGeom>
        <a:ln w="19050">
          <a:solidFill>
            <a:schemeClr val="tx1"/>
          </a:solidFill>
          <a:prstDash val="sysDot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983538</xdr:colOff>
      <xdr:row>12</xdr:row>
      <xdr:rowOff>862867</xdr:rowOff>
    </xdr:from>
    <xdr:to>
      <xdr:col>3</xdr:col>
      <xdr:colOff>1055538</xdr:colOff>
      <xdr:row>12</xdr:row>
      <xdr:rowOff>934867</xdr:rowOff>
    </xdr:to>
    <xdr:sp macro="" textlink="">
      <xdr:nvSpPr>
        <xdr:cNvPr id="251" name="5-конечная звезда 250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529950" y="5804661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571506</xdr:colOff>
      <xdr:row>12</xdr:row>
      <xdr:rowOff>870194</xdr:rowOff>
    </xdr:from>
    <xdr:to>
      <xdr:col>3</xdr:col>
      <xdr:colOff>643506</xdr:colOff>
      <xdr:row>12</xdr:row>
      <xdr:rowOff>942194</xdr:rowOff>
    </xdr:to>
    <xdr:sp macro="" textlink="">
      <xdr:nvSpPr>
        <xdr:cNvPr id="252" name="5-конечная звезда 251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2117918" y="5811988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821060</xdr:colOff>
      <xdr:row>13</xdr:row>
      <xdr:rowOff>80842</xdr:rowOff>
    </xdr:from>
    <xdr:to>
      <xdr:col>3</xdr:col>
      <xdr:colOff>821060</xdr:colOff>
      <xdr:row>13</xdr:row>
      <xdr:rowOff>1370382</xdr:rowOff>
    </xdr:to>
    <xdr:cxnSp macro="">
      <xdr:nvCxnSpPr>
        <xdr:cNvPr id="255" name="Прямая со стрелкой 254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367472" y="6546636"/>
          <a:ext cx="0" cy="1289540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780067</xdr:colOff>
      <xdr:row>13</xdr:row>
      <xdr:rowOff>1352686</xdr:rowOff>
    </xdr:from>
    <xdr:to>
      <xdr:col>3</xdr:col>
      <xdr:colOff>852067</xdr:colOff>
      <xdr:row>13</xdr:row>
      <xdr:rowOff>1424686</xdr:rowOff>
    </xdr:to>
    <xdr:sp macro="" textlink="">
      <xdr:nvSpPr>
        <xdr:cNvPr id="256" name="Овал 255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326479" y="7818480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983538</xdr:colOff>
      <xdr:row>13</xdr:row>
      <xdr:rowOff>730791</xdr:rowOff>
    </xdr:from>
    <xdr:to>
      <xdr:col>3</xdr:col>
      <xdr:colOff>1055538</xdr:colOff>
      <xdr:row>13</xdr:row>
      <xdr:rowOff>802791</xdr:rowOff>
    </xdr:to>
    <xdr:sp macro="" textlink="">
      <xdr:nvSpPr>
        <xdr:cNvPr id="257" name="5-конечная звезда 256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529950" y="7196585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571506</xdr:colOff>
      <xdr:row>13</xdr:row>
      <xdr:rowOff>738118</xdr:rowOff>
    </xdr:from>
    <xdr:to>
      <xdr:col>3</xdr:col>
      <xdr:colOff>643506</xdr:colOff>
      <xdr:row>13</xdr:row>
      <xdr:rowOff>810118</xdr:rowOff>
    </xdr:to>
    <xdr:sp macro="" textlink="">
      <xdr:nvSpPr>
        <xdr:cNvPr id="258" name="5-конечная звезда 257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2117918" y="7203912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1202478</xdr:colOff>
      <xdr:row>13</xdr:row>
      <xdr:rowOff>765448</xdr:rowOff>
    </xdr:from>
    <xdr:to>
      <xdr:col>3</xdr:col>
      <xdr:colOff>1202478</xdr:colOff>
      <xdr:row>13</xdr:row>
      <xdr:rowOff>765448</xdr:rowOff>
    </xdr:to>
    <xdr:cxnSp macro="">
      <xdr:nvCxnSpPr>
        <xdr:cNvPr id="259" name="Прямая соединительная линия 258"/>
        <xdr:cNvCxnSpPr/>
      </xdr:nvCxnSpPr>
      <xdr:spPr>
        <a:xfrm>
          <a:off x="2748890" y="7231242"/>
          <a:ext cx="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998559</xdr:colOff>
      <xdr:row>10</xdr:row>
      <xdr:rowOff>399217</xdr:rowOff>
    </xdr:from>
    <xdr:to>
      <xdr:col>3</xdr:col>
      <xdr:colOff>1070559</xdr:colOff>
      <xdr:row>10</xdr:row>
      <xdr:rowOff>471217</xdr:rowOff>
    </xdr:to>
    <xdr:sp macro="" textlink="">
      <xdr:nvSpPr>
        <xdr:cNvPr id="33" name="Овал 32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541609" y="532364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981993</xdr:colOff>
      <xdr:row>10</xdr:row>
      <xdr:rowOff>399217</xdr:rowOff>
    </xdr:from>
    <xdr:to>
      <xdr:col>3</xdr:col>
      <xdr:colOff>1053993</xdr:colOff>
      <xdr:row>10</xdr:row>
      <xdr:rowOff>471217</xdr:rowOff>
    </xdr:to>
    <xdr:sp macro="" textlink="">
      <xdr:nvSpPr>
        <xdr:cNvPr id="35" name="Овал 34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525043" y="532364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1039250</xdr:colOff>
      <xdr:row>5</xdr:row>
      <xdr:rowOff>33801</xdr:rowOff>
    </xdr:from>
    <xdr:to>
      <xdr:col>3</xdr:col>
      <xdr:colOff>1208908</xdr:colOff>
      <xdr:row>5</xdr:row>
      <xdr:rowOff>424284</xdr:rowOff>
    </xdr:to>
    <xdr:sp macro="" textlink="">
      <xdr:nvSpPr>
        <xdr:cNvPr id="37" name="Полилиния 36"/>
        <xdr:cNvSpPr/>
      </xdr:nvSpPr>
      <xdr:spPr>
        <a:xfrm>
          <a:off x="2582300" y="2434101"/>
          <a:ext cx="169658" cy="390483"/>
        </a:xfrm>
        <a:custGeom>
          <a:avLst/>
          <a:gdLst>
            <a:gd name="connsiteX0" fmla="*/ 4018 w 530695"/>
            <a:gd name="connsiteY0" fmla="*/ 1221441 h 1221441"/>
            <a:gd name="connsiteX1" fmla="*/ 15224 w 530695"/>
            <a:gd name="connsiteY1" fmla="*/ 762000 h 1221441"/>
            <a:gd name="connsiteX2" fmla="*/ 127283 w 530695"/>
            <a:gd name="connsiteY2" fmla="*/ 515471 h 1221441"/>
            <a:gd name="connsiteX3" fmla="*/ 351401 w 530695"/>
            <a:gd name="connsiteY3" fmla="*/ 212912 h 1221441"/>
            <a:gd name="connsiteX4" fmla="*/ 530695 w 530695"/>
            <a:gd name="connsiteY4" fmla="*/ 0 h 122144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30695" h="1221441">
              <a:moveTo>
                <a:pt x="4018" y="1221441"/>
              </a:moveTo>
              <a:cubicBezTo>
                <a:pt x="-651" y="1050551"/>
                <a:pt x="-5320" y="879662"/>
                <a:pt x="15224" y="762000"/>
              </a:cubicBezTo>
              <a:cubicBezTo>
                <a:pt x="35768" y="644338"/>
                <a:pt x="71254" y="606986"/>
                <a:pt x="127283" y="515471"/>
              </a:cubicBezTo>
              <a:cubicBezTo>
                <a:pt x="183312" y="423956"/>
                <a:pt x="284166" y="298824"/>
                <a:pt x="351401" y="212912"/>
              </a:cubicBezTo>
              <a:cubicBezTo>
                <a:pt x="418636" y="127000"/>
                <a:pt x="474665" y="63500"/>
                <a:pt x="530695" y="0"/>
              </a:cubicBezTo>
            </a:path>
          </a:pathLst>
        </a:custGeom>
        <a:noFill/>
        <a:ln w="19050">
          <a:solidFill>
            <a:schemeClr val="tx1"/>
          </a:solidFill>
          <a:prstDash val="solid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1007071</xdr:colOff>
      <xdr:row>5</xdr:row>
      <xdr:rowOff>372816</xdr:rowOff>
    </xdr:from>
    <xdr:to>
      <xdr:col>3</xdr:col>
      <xdr:colOff>1079071</xdr:colOff>
      <xdr:row>5</xdr:row>
      <xdr:rowOff>444816</xdr:rowOff>
    </xdr:to>
    <xdr:sp macro="" textlink="">
      <xdr:nvSpPr>
        <xdr:cNvPr id="38" name="Овал 37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550121" y="2773116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871160</xdr:colOff>
      <xdr:row>8</xdr:row>
      <xdr:rowOff>58615</xdr:rowOff>
    </xdr:from>
    <xdr:to>
      <xdr:col>3</xdr:col>
      <xdr:colOff>1040818</xdr:colOff>
      <xdr:row>8</xdr:row>
      <xdr:rowOff>449098</xdr:rowOff>
    </xdr:to>
    <xdr:sp macro="" textlink="">
      <xdr:nvSpPr>
        <xdr:cNvPr id="40" name="Полилиния 39"/>
        <xdr:cNvSpPr/>
      </xdr:nvSpPr>
      <xdr:spPr>
        <a:xfrm flipH="1">
          <a:off x="2414210" y="3973390"/>
          <a:ext cx="169658" cy="390483"/>
        </a:xfrm>
        <a:custGeom>
          <a:avLst/>
          <a:gdLst>
            <a:gd name="connsiteX0" fmla="*/ 4018 w 530695"/>
            <a:gd name="connsiteY0" fmla="*/ 1221441 h 1221441"/>
            <a:gd name="connsiteX1" fmla="*/ 15224 w 530695"/>
            <a:gd name="connsiteY1" fmla="*/ 762000 h 1221441"/>
            <a:gd name="connsiteX2" fmla="*/ 127283 w 530695"/>
            <a:gd name="connsiteY2" fmla="*/ 515471 h 1221441"/>
            <a:gd name="connsiteX3" fmla="*/ 351401 w 530695"/>
            <a:gd name="connsiteY3" fmla="*/ 212912 h 1221441"/>
            <a:gd name="connsiteX4" fmla="*/ 530695 w 530695"/>
            <a:gd name="connsiteY4" fmla="*/ 0 h 122144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30695" h="1221441">
              <a:moveTo>
                <a:pt x="4018" y="1221441"/>
              </a:moveTo>
              <a:cubicBezTo>
                <a:pt x="-651" y="1050551"/>
                <a:pt x="-5320" y="879662"/>
                <a:pt x="15224" y="762000"/>
              </a:cubicBezTo>
              <a:cubicBezTo>
                <a:pt x="35768" y="644338"/>
                <a:pt x="71254" y="606986"/>
                <a:pt x="127283" y="515471"/>
              </a:cubicBezTo>
              <a:cubicBezTo>
                <a:pt x="183312" y="423956"/>
                <a:pt x="284166" y="298824"/>
                <a:pt x="351401" y="212912"/>
              </a:cubicBezTo>
              <a:cubicBezTo>
                <a:pt x="418636" y="127000"/>
                <a:pt x="474665" y="63500"/>
                <a:pt x="530695" y="0"/>
              </a:cubicBezTo>
            </a:path>
          </a:pathLst>
        </a:custGeom>
        <a:noFill/>
        <a:ln w="19050">
          <a:solidFill>
            <a:schemeClr val="tx1"/>
          </a:solidFill>
          <a:prstDash val="solid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1007071</xdr:colOff>
      <xdr:row>8</xdr:row>
      <xdr:rowOff>397630</xdr:rowOff>
    </xdr:from>
    <xdr:to>
      <xdr:col>3</xdr:col>
      <xdr:colOff>1079071</xdr:colOff>
      <xdr:row>8</xdr:row>
      <xdr:rowOff>469630</xdr:rowOff>
    </xdr:to>
    <xdr:sp macro="" textlink="">
      <xdr:nvSpPr>
        <xdr:cNvPr id="41" name="Овал 40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550121" y="4312405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1005632</xdr:colOff>
      <xdr:row>9</xdr:row>
      <xdr:rowOff>67420</xdr:rowOff>
    </xdr:from>
    <xdr:to>
      <xdr:col>3</xdr:col>
      <xdr:colOff>1054473</xdr:colOff>
      <xdr:row>9</xdr:row>
      <xdr:rowOff>457903</xdr:rowOff>
    </xdr:to>
    <xdr:sp macro="" textlink="">
      <xdr:nvSpPr>
        <xdr:cNvPr id="42" name="Полилиния 41"/>
        <xdr:cNvSpPr/>
      </xdr:nvSpPr>
      <xdr:spPr>
        <a:xfrm>
          <a:off x="2548682" y="4487020"/>
          <a:ext cx="48841" cy="390483"/>
        </a:xfrm>
        <a:custGeom>
          <a:avLst/>
          <a:gdLst>
            <a:gd name="connsiteX0" fmla="*/ 4018 w 530695"/>
            <a:gd name="connsiteY0" fmla="*/ 1221441 h 1221441"/>
            <a:gd name="connsiteX1" fmla="*/ 15224 w 530695"/>
            <a:gd name="connsiteY1" fmla="*/ 762000 h 1221441"/>
            <a:gd name="connsiteX2" fmla="*/ 127283 w 530695"/>
            <a:gd name="connsiteY2" fmla="*/ 515471 h 1221441"/>
            <a:gd name="connsiteX3" fmla="*/ 351401 w 530695"/>
            <a:gd name="connsiteY3" fmla="*/ 212912 h 1221441"/>
            <a:gd name="connsiteX4" fmla="*/ 530695 w 530695"/>
            <a:gd name="connsiteY4" fmla="*/ 0 h 122144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30695" h="1221441">
              <a:moveTo>
                <a:pt x="4018" y="1221441"/>
              </a:moveTo>
              <a:cubicBezTo>
                <a:pt x="-651" y="1050551"/>
                <a:pt x="-5320" y="879662"/>
                <a:pt x="15224" y="762000"/>
              </a:cubicBezTo>
              <a:cubicBezTo>
                <a:pt x="35768" y="644338"/>
                <a:pt x="71254" y="606986"/>
                <a:pt x="127283" y="515471"/>
              </a:cubicBezTo>
              <a:cubicBezTo>
                <a:pt x="183312" y="423956"/>
                <a:pt x="284166" y="298824"/>
                <a:pt x="351401" y="212912"/>
              </a:cubicBezTo>
              <a:cubicBezTo>
                <a:pt x="418636" y="127000"/>
                <a:pt x="474665" y="63500"/>
                <a:pt x="530695" y="0"/>
              </a:cubicBezTo>
            </a:path>
          </a:pathLst>
        </a:custGeom>
        <a:noFill/>
        <a:ln w="19050">
          <a:solidFill>
            <a:schemeClr val="tx1"/>
          </a:solidFill>
          <a:prstDash val="solid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973453</xdr:colOff>
      <xdr:row>9</xdr:row>
      <xdr:rowOff>406435</xdr:rowOff>
    </xdr:from>
    <xdr:to>
      <xdr:col>3</xdr:col>
      <xdr:colOff>1045453</xdr:colOff>
      <xdr:row>9</xdr:row>
      <xdr:rowOff>478435</xdr:rowOff>
    </xdr:to>
    <xdr:sp macro="" textlink="">
      <xdr:nvSpPr>
        <xdr:cNvPr id="43" name="Овал 42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516503" y="4826035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1026208</xdr:colOff>
      <xdr:row>10</xdr:row>
      <xdr:rowOff>49695</xdr:rowOff>
    </xdr:from>
    <xdr:to>
      <xdr:col>3</xdr:col>
      <xdr:colOff>1026208</xdr:colOff>
      <xdr:row>10</xdr:row>
      <xdr:rowOff>430695</xdr:rowOff>
    </xdr:to>
    <xdr:cxnSp macro="">
      <xdr:nvCxnSpPr>
        <xdr:cNvPr id="7" name="Прямая соединительная линия 6"/>
        <xdr:cNvCxnSpPr/>
      </xdr:nvCxnSpPr>
      <xdr:spPr>
        <a:xfrm flipV="1">
          <a:off x="2569258" y="4974120"/>
          <a:ext cx="0" cy="38100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1212138</xdr:colOff>
      <xdr:row>13</xdr:row>
      <xdr:rowOff>730791</xdr:rowOff>
    </xdr:from>
    <xdr:to>
      <xdr:col>3</xdr:col>
      <xdr:colOff>1284138</xdr:colOff>
      <xdr:row>13</xdr:row>
      <xdr:rowOff>802791</xdr:rowOff>
    </xdr:to>
    <xdr:sp macro="" textlink="">
      <xdr:nvSpPr>
        <xdr:cNvPr id="44" name="5-конечная звезда 43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755188" y="8188866"/>
          <a:ext cx="72000" cy="72000"/>
        </a:xfrm>
        <a:prstGeom prst="star5">
          <a:avLst/>
        </a:prstGeom>
        <a:noFill/>
        <a:ln w="19050">
          <a:solidFill>
            <a:srgbClr val="0070C0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771524</xdr:colOff>
      <xdr:row>13</xdr:row>
      <xdr:rowOff>91106</xdr:rowOff>
    </xdr:from>
    <xdr:to>
      <xdr:col>6</xdr:col>
      <xdr:colOff>235783</xdr:colOff>
      <xdr:row>13</xdr:row>
      <xdr:rowOff>1143000</xdr:rowOff>
    </xdr:to>
    <xdr:grpSp>
      <xdr:nvGrpSpPr>
        <xdr:cNvPr id="12" name="Группа 11"/>
        <xdr:cNvGrpSpPr/>
      </xdr:nvGrpSpPr>
      <xdr:grpSpPr>
        <a:xfrm>
          <a:off x="3895724" y="7549181"/>
          <a:ext cx="1959809" cy="1051894"/>
          <a:chOff x="3902868" y="7562278"/>
          <a:chExt cx="1958612" cy="1051894"/>
        </a:xfrm>
      </xdr:grpSpPr>
      <xdr:sp macro="" textlink="">
        <xdr:nvSpPr>
          <xdr:cNvPr id="2" name="Прямоугольник 1"/>
          <xdr:cNvSpPr/>
        </xdr:nvSpPr>
        <xdr:spPr>
          <a:xfrm>
            <a:off x="3902868" y="7585472"/>
            <a:ext cx="1703935" cy="1019175"/>
          </a:xfrm>
          <a:prstGeom prst="rect">
            <a:avLst/>
          </a:prstGeom>
          <a:solidFill>
            <a:srgbClr val="0070C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5" name="Прямая со стрелкой 4"/>
          <xdr:cNvCxnSpPr/>
        </xdr:nvCxnSpPr>
        <xdr:spPr>
          <a:xfrm flipV="1">
            <a:off x="4045744" y="7633098"/>
            <a:ext cx="0" cy="981074"/>
          </a:xfrm>
          <a:prstGeom prst="straightConnector1">
            <a:avLst/>
          </a:prstGeom>
          <a:ln w="63500">
            <a:solidFill>
              <a:schemeClr val="bg1"/>
            </a:solidFill>
            <a:tailEnd type="triangl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" name="Полилиния 7"/>
          <xdr:cNvSpPr/>
        </xdr:nvSpPr>
        <xdr:spPr>
          <a:xfrm>
            <a:off x="4031819" y="8299433"/>
            <a:ext cx="602761" cy="248478"/>
          </a:xfrm>
          <a:custGeom>
            <a:avLst/>
            <a:gdLst>
              <a:gd name="connsiteX0" fmla="*/ 0 w 496957"/>
              <a:gd name="connsiteY0" fmla="*/ 248478 h 248478"/>
              <a:gd name="connsiteX1" fmla="*/ 306457 w 496957"/>
              <a:gd name="connsiteY1" fmla="*/ 0 h 248478"/>
              <a:gd name="connsiteX2" fmla="*/ 496957 w 496957"/>
              <a:gd name="connsiteY2" fmla="*/ 0 h 24847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496957" h="248478">
                <a:moveTo>
                  <a:pt x="0" y="248478"/>
                </a:moveTo>
                <a:lnTo>
                  <a:pt x="306457" y="0"/>
                </a:lnTo>
                <a:lnTo>
                  <a:pt x="496957" y="0"/>
                </a:lnTo>
              </a:path>
            </a:pathLst>
          </a:custGeom>
          <a:noFill/>
          <a:ln w="63500">
            <a:solidFill>
              <a:schemeClr val="bg1"/>
            </a:solidFill>
            <a:tailEnd type="triangle" w="med" len="sm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9" name="Дуга 8"/>
          <xdr:cNvSpPr/>
        </xdr:nvSpPr>
        <xdr:spPr>
          <a:xfrm>
            <a:off x="4025141" y="8067519"/>
            <a:ext cx="356152" cy="356152"/>
          </a:xfrm>
          <a:prstGeom prst="arc">
            <a:avLst>
              <a:gd name="adj1" fmla="val 15033602"/>
              <a:gd name="adj2" fmla="val 1194360"/>
            </a:avLst>
          </a:prstGeom>
          <a:noFill/>
          <a:ln w="63500">
            <a:solidFill>
              <a:schemeClr val="bg1"/>
            </a:solidFill>
            <a:headEnd type="triangle" w="med" len="sm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0" name="TextBox 9"/>
          <xdr:cNvSpPr txBox="1"/>
        </xdr:nvSpPr>
        <xdr:spPr>
          <a:xfrm>
            <a:off x="4415948" y="7562278"/>
            <a:ext cx="1008407" cy="4058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000" b="1">
                <a:solidFill>
                  <a:schemeClr val="bg1"/>
                </a:solidFill>
              </a:rPr>
              <a:t>РОСЛАВЛЬ</a:t>
            </a:r>
          </a:p>
          <a:p>
            <a:r>
              <a:rPr lang="ru-RU" sz="1000" b="1">
                <a:solidFill>
                  <a:schemeClr val="bg1"/>
                </a:solidFill>
              </a:rPr>
              <a:t>БРЯНСК</a:t>
            </a:r>
          </a:p>
        </xdr:txBody>
      </xdr:sp>
      <xdr:sp macro="" textlink="">
        <xdr:nvSpPr>
          <xdr:cNvPr id="48" name="TextBox 47"/>
          <xdr:cNvSpPr txBox="1"/>
        </xdr:nvSpPr>
        <xdr:spPr>
          <a:xfrm>
            <a:off x="4645187" y="7933987"/>
            <a:ext cx="1008590" cy="2650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000" b="1">
                <a:solidFill>
                  <a:schemeClr val="bg1"/>
                </a:solidFill>
              </a:rPr>
              <a:t>КАРДЫМОВО</a:t>
            </a:r>
          </a:p>
        </xdr:txBody>
      </xdr:sp>
      <xdr:sp macro="" textlink="">
        <xdr:nvSpPr>
          <xdr:cNvPr id="49" name="TextBox 48"/>
          <xdr:cNvSpPr txBox="1"/>
        </xdr:nvSpPr>
        <xdr:spPr>
          <a:xfrm>
            <a:off x="4855920" y="8158627"/>
            <a:ext cx="1005560" cy="2650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000" b="1">
                <a:solidFill>
                  <a:schemeClr val="bg1"/>
                </a:solidFill>
              </a:rPr>
              <a:t>СМОЛЕНСК</a:t>
            </a:r>
          </a:p>
        </xdr:txBody>
      </xdr:sp>
      <xdr:sp macro="" textlink="">
        <xdr:nvSpPr>
          <xdr:cNvPr id="11" name="Скругленный прямоугольник 10"/>
          <xdr:cNvSpPr/>
        </xdr:nvSpPr>
        <xdr:spPr>
          <a:xfrm>
            <a:off x="4188490" y="7624907"/>
            <a:ext cx="281002" cy="134339"/>
          </a:xfrm>
          <a:prstGeom prst="roundRect">
            <a:avLst/>
          </a:prstGeom>
          <a:noFill/>
          <a:ln w="19050">
            <a:solidFill>
              <a:schemeClr val="bg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ru-RU" sz="800" b="1"/>
              <a:t>А141</a:t>
            </a:r>
          </a:p>
        </xdr:txBody>
      </xdr:sp>
      <xdr:sp macro="" textlink="">
        <xdr:nvSpPr>
          <xdr:cNvPr id="51" name="Скругленный прямоугольник 50"/>
          <xdr:cNvSpPr/>
        </xdr:nvSpPr>
        <xdr:spPr>
          <a:xfrm>
            <a:off x="4406868" y="7991968"/>
            <a:ext cx="282163" cy="134339"/>
          </a:xfrm>
          <a:prstGeom prst="roundRect">
            <a:avLst/>
          </a:prstGeom>
          <a:noFill/>
          <a:ln w="19050">
            <a:solidFill>
              <a:schemeClr val="bg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ru-RU" sz="800" b="1"/>
              <a:t>Р134</a:t>
            </a:r>
          </a:p>
        </xdr:txBody>
      </xdr:sp>
      <xdr:sp macro="" textlink="">
        <xdr:nvSpPr>
          <xdr:cNvPr id="52" name="Скругленный прямоугольник 51"/>
          <xdr:cNvSpPr/>
        </xdr:nvSpPr>
        <xdr:spPr>
          <a:xfrm>
            <a:off x="4649643" y="8214993"/>
            <a:ext cx="281002" cy="134339"/>
          </a:xfrm>
          <a:prstGeom prst="roundRect">
            <a:avLst/>
          </a:prstGeom>
          <a:noFill/>
          <a:ln w="19050">
            <a:solidFill>
              <a:schemeClr val="bg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ru-RU" sz="800" b="1"/>
              <a:t>Р134</a:t>
            </a:r>
          </a:p>
        </xdr:txBody>
      </xdr:sp>
      <xdr:sp macro="" textlink="">
        <xdr:nvSpPr>
          <xdr:cNvPr id="53" name="Скругленный прямоугольник 52"/>
          <xdr:cNvSpPr/>
        </xdr:nvSpPr>
        <xdr:spPr>
          <a:xfrm>
            <a:off x="4661143" y="8451956"/>
            <a:ext cx="367061" cy="134339"/>
          </a:xfrm>
          <a:prstGeom prst="roundRect">
            <a:avLst/>
          </a:prstGeom>
          <a:noFill/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ru-RU" sz="800" b="1"/>
              <a:t>300 м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104859</xdr:colOff>
      <xdr:row>4</xdr:row>
      <xdr:rowOff>275507</xdr:rowOff>
    </xdr:from>
    <xdr:to>
      <xdr:col>4</xdr:col>
      <xdr:colOff>721315</xdr:colOff>
      <xdr:row>4</xdr:row>
      <xdr:rowOff>885160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9059" y="1151807"/>
          <a:ext cx="616456" cy="609653"/>
        </a:xfrm>
        <a:prstGeom prst="rect">
          <a:avLst/>
        </a:prstGeom>
      </xdr:spPr>
    </xdr:pic>
    <xdr:clientData/>
  </xdr:twoCellAnchor>
  <xdr:twoCellAnchor>
    <xdr:from>
      <xdr:col>3</xdr:col>
      <xdr:colOff>832265</xdr:colOff>
      <xdr:row>4</xdr:row>
      <xdr:rowOff>78441</xdr:rowOff>
    </xdr:from>
    <xdr:to>
      <xdr:col>3</xdr:col>
      <xdr:colOff>832265</xdr:colOff>
      <xdr:row>4</xdr:row>
      <xdr:rowOff>1390397</xdr:rowOff>
    </xdr:to>
    <xdr:cxnSp macro="">
      <xdr:nvCxnSpPr>
        <xdr:cNvPr id="99" name="Прямая со стрелкой 98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390901" y="978986"/>
          <a:ext cx="0" cy="1311956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791272</xdr:colOff>
      <xdr:row>4</xdr:row>
      <xdr:rowOff>1372698</xdr:rowOff>
    </xdr:from>
    <xdr:to>
      <xdr:col>3</xdr:col>
      <xdr:colOff>863272</xdr:colOff>
      <xdr:row>4</xdr:row>
      <xdr:rowOff>1444698</xdr:rowOff>
    </xdr:to>
    <xdr:sp macro="" textlink="">
      <xdr:nvSpPr>
        <xdr:cNvPr id="100" name="Овал 99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349908" y="2273243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1005944</xdr:colOff>
      <xdr:row>4</xdr:row>
      <xdr:rowOff>716685</xdr:rowOff>
    </xdr:from>
    <xdr:to>
      <xdr:col>3</xdr:col>
      <xdr:colOff>1077944</xdr:colOff>
      <xdr:row>4</xdr:row>
      <xdr:rowOff>788685</xdr:rowOff>
    </xdr:to>
    <xdr:sp macro="" textlink="">
      <xdr:nvSpPr>
        <xdr:cNvPr id="101" name="5-конечная звезда 100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552356" y="1613156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571500</xdr:colOff>
      <xdr:row>4</xdr:row>
      <xdr:rowOff>724012</xdr:rowOff>
    </xdr:from>
    <xdr:to>
      <xdr:col>3</xdr:col>
      <xdr:colOff>643500</xdr:colOff>
      <xdr:row>4</xdr:row>
      <xdr:rowOff>796012</xdr:rowOff>
    </xdr:to>
    <xdr:sp macro="" textlink="">
      <xdr:nvSpPr>
        <xdr:cNvPr id="102" name="5-конечная звезда 101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2117912" y="1620483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302559</xdr:colOff>
      <xdr:row>0</xdr:row>
      <xdr:rowOff>134470</xdr:rowOff>
    </xdr:from>
    <xdr:to>
      <xdr:col>2</xdr:col>
      <xdr:colOff>253332</xdr:colOff>
      <xdr:row>2</xdr:row>
      <xdr:rowOff>109944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559" y="134470"/>
          <a:ext cx="914479" cy="423709"/>
        </a:xfrm>
        <a:prstGeom prst="rect">
          <a:avLst/>
        </a:prstGeom>
      </xdr:spPr>
    </xdr:pic>
    <xdr:clientData/>
  </xdr:twoCellAnchor>
  <xdr:twoCellAnchor>
    <xdr:from>
      <xdr:col>4</xdr:col>
      <xdr:colOff>246530</xdr:colOff>
      <xdr:row>5</xdr:row>
      <xdr:rowOff>123264</xdr:rowOff>
    </xdr:from>
    <xdr:to>
      <xdr:col>5</xdr:col>
      <xdr:colOff>952500</xdr:colOff>
      <xdr:row>5</xdr:row>
      <xdr:rowOff>1400734</xdr:rowOff>
    </xdr:to>
    <xdr:sp macro="" textlink="">
      <xdr:nvSpPr>
        <xdr:cNvPr id="2" name="TextBox 1"/>
        <xdr:cNvSpPr txBox="1"/>
      </xdr:nvSpPr>
      <xdr:spPr>
        <a:xfrm>
          <a:off x="3372971" y="2543735"/>
          <a:ext cx="2084294" cy="1277470"/>
        </a:xfrm>
        <a:prstGeom prst="rect">
          <a:avLst/>
        </a:prstGeom>
        <a:solidFill>
          <a:srgbClr val="FFFF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400"/>
            <a:t>В позициях 2 -9 углы пересечения дорог могут не соответствовать реальным</a:t>
          </a:r>
        </a:p>
      </xdr:txBody>
    </xdr:sp>
    <xdr:clientData/>
  </xdr:twoCellAnchor>
  <xdr:twoCellAnchor>
    <xdr:from>
      <xdr:col>3</xdr:col>
      <xdr:colOff>832265</xdr:colOff>
      <xdr:row>5</xdr:row>
      <xdr:rowOff>781050</xdr:rowOff>
    </xdr:from>
    <xdr:to>
      <xdr:col>3</xdr:col>
      <xdr:colOff>832265</xdr:colOff>
      <xdr:row>5</xdr:row>
      <xdr:rowOff>1401603</xdr:rowOff>
    </xdr:to>
    <xdr:cxnSp macro="">
      <xdr:nvCxnSpPr>
        <xdr:cNvPr id="191" name="Прямая со стрелкой 190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375315" y="3181350"/>
          <a:ext cx="0" cy="620553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791272</xdr:colOff>
      <xdr:row>5</xdr:row>
      <xdr:rowOff>1361492</xdr:rowOff>
    </xdr:from>
    <xdr:to>
      <xdr:col>3</xdr:col>
      <xdr:colOff>863272</xdr:colOff>
      <xdr:row>5</xdr:row>
      <xdr:rowOff>1433492</xdr:rowOff>
    </xdr:to>
    <xdr:sp macro="" textlink="">
      <xdr:nvSpPr>
        <xdr:cNvPr id="192" name="Овал 191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337684" y="3781963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832265</xdr:colOff>
      <xdr:row>13</xdr:row>
      <xdr:rowOff>78441</xdr:rowOff>
    </xdr:from>
    <xdr:to>
      <xdr:col>3</xdr:col>
      <xdr:colOff>832265</xdr:colOff>
      <xdr:row>13</xdr:row>
      <xdr:rowOff>1390397</xdr:rowOff>
    </xdr:to>
    <xdr:cxnSp macro="">
      <xdr:nvCxnSpPr>
        <xdr:cNvPr id="295" name="Прямая со стрелкой 294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390901" y="14694986"/>
          <a:ext cx="0" cy="1311956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791272</xdr:colOff>
      <xdr:row>13</xdr:row>
      <xdr:rowOff>1372698</xdr:rowOff>
    </xdr:from>
    <xdr:to>
      <xdr:col>3</xdr:col>
      <xdr:colOff>863272</xdr:colOff>
      <xdr:row>13</xdr:row>
      <xdr:rowOff>1444698</xdr:rowOff>
    </xdr:to>
    <xdr:sp macro="" textlink="">
      <xdr:nvSpPr>
        <xdr:cNvPr id="296" name="Овал 295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349908" y="15989243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829235</xdr:colOff>
      <xdr:row>13</xdr:row>
      <xdr:rowOff>470646</xdr:rowOff>
    </xdr:from>
    <xdr:to>
      <xdr:col>3</xdr:col>
      <xdr:colOff>1490382</xdr:colOff>
      <xdr:row>13</xdr:row>
      <xdr:rowOff>818028</xdr:rowOff>
    </xdr:to>
    <xdr:sp macro="" textlink="">
      <xdr:nvSpPr>
        <xdr:cNvPr id="18" name="Полилиния 17"/>
        <xdr:cNvSpPr/>
      </xdr:nvSpPr>
      <xdr:spPr>
        <a:xfrm>
          <a:off x="2375647" y="15083117"/>
          <a:ext cx="661147" cy="347382"/>
        </a:xfrm>
        <a:custGeom>
          <a:avLst/>
          <a:gdLst>
            <a:gd name="connsiteX0" fmla="*/ 0 w 661147"/>
            <a:gd name="connsiteY0" fmla="*/ 347382 h 347382"/>
            <a:gd name="connsiteX1" fmla="*/ 347382 w 661147"/>
            <a:gd name="connsiteY1" fmla="*/ 201705 h 347382"/>
            <a:gd name="connsiteX2" fmla="*/ 661147 w 661147"/>
            <a:gd name="connsiteY2" fmla="*/ 0 h 3473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61147" h="347382">
              <a:moveTo>
                <a:pt x="0" y="347382"/>
              </a:moveTo>
              <a:cubicBezTo>
                <a:pt x="118595" y="303492"/>
                <a:pt x="237191" y="259602"/>
                <a:pt x="347382" y="201705"/>
              </a:cubicBezTo>
              <a:cubicBezTo>
                <a:pt x="457573" y="143808"/>
                <a:pt x="559360" y="71904"/>
                <a:pt x="661147" y="0"/>
              </a:cubicBezTo>
            </a:path>
          </a:pathLst>
        </a:custGeom>
        <a:noFill/>
        <a:ln w="19050">
          <a:solidFill>
            <a:schemeClr val="tx1"/>
          </a:solidFill>
          <a:prstDash val="sysDot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821054</xdr:colOff>
      <xdr:row>14</xdr:row>
      <xdr:rowOff>81643</xdr:rowOff>
    </xdr:from>
    <xdr:to>
      <xdr:col>3</xdr:col>
      <xdr:colOff>821054</xdr:colOff>
      <xdr:row>14</xdr:row>
      <xdr:rowOff>1371183</xdr:rowOff>
    </xdr:to>
    <xdr:cxnSp macro="">
      <xdr:nvCxnSpPr>
        <xdr:cNvPr id="297" name="Прямая со стрелкой 296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372268" y="16192500"/>
          <a:ext cx="0" cy="1289540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780061</xdr:colOff>
      <xdr:row>14</xdr:row>
      <xdr:rowOff>1353487</xdr:rowOff>
    </xdr:from>
    <xdr:to>
      <xdr:col>3</xdr:col>
      <xdr:colOff>852061</xdr:colOff>
      <xdr:row>14</xdr:row>
      <xdr:rowOff>1425487</xdr:rowOff>
    </xdr:to>
    <xdr:sp macro="" textlink="">
      <xdr:nvSpPr>
        <xdr:cNvPr id="298" name="Овал 297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331275" y="17464344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983532</xdr:colOff>
      <xdr:row>14</xdr:row>
      <xdr:rowOff>731592</xdr:rowOff>
    </xdr:from>
    <xdr:to>
      <xdr:col>3</xdr:col>
      <xdr:colOff>1055532</xdr:colOff>
      <xdr:row>14</xdr:row>
      <xdr:rowOff>803592</xdr:rowOff>
    </xdr:to>
    <xdr:sp macro="" textlink="">
      <xdr:nvSpPr>
        <xdr:cNvPr id="299" name="5-конечная звезда 298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534746" y="16842449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571500</xdr:colOff>
      <xdr:row>14</xdr:row>
      <xdr:rowOff>738919</xdr:rowOff>
    </xdr:from>
    <xdr:to>
      <xdr:col>3</xdr:col>
      <xdr:colOff>643500</xdr:colOff>
      <xdr:row>14</xdr:row>
      <xdr:rowOff>810919</xdr:rowOff>
    </xdr:to>
    <xdr:sp macro="" textlink="">
      <xdr:nvSpPr>
        <xdr:cNvPr id="300" name="5-конечная звезда 299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2122714" y="16849776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1202472</xdr:colOff>
      <xdr:row>14</xdr:row>
      <xdr:rowOff>766249</xdr:rowOff>
    </xdr:from>
    <xdr:to>
      <xdr:col>3</xdr:col>
      <xdr:colOff>1202472</xdr:colOff>
      <xdr:row>14</xdr:row>
      <xdr:rowOff>766249</xdr:rowOff>
    </xdr:to>
    <xdr:cxnSp macro="">
      <xdr:nvCxnSpPr>
        <xdr:cNvPr id="301" name="Прямая соединительная линия 300"/>
        <xdr:cNvCxnSpPr/>
      </xdr:nvCxnSpPr>
      <xdr:spPr>
        <a:xfrm>
          <a:off x="2753686" y="16877106"/>
          <a:ext cx="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952500</xdr:colOff>
      <xdr:row>14</xdr:row>
      <xdr:rowOff>151345</xdr:rowOff>
    </xdr:from>
    <xdr:ext cx="609653" cy="609653"/>
    <xdr:pic>
      <xdr:nvPicPr>
        <xdr:cNvPr id="302" name="Рисунок 301">
          <a:extLst>
            <a:ext uri="{FF2B5EF4-FFF2-40B4-BE49-F238E27FC236}">
              <a16:creationId xmlns:a16="http://schemas.microsoft.com/office/drawing/2014/main" xmlns="" id="{00000000-0008-0000-09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6599770"/>
          <a:ext cx="609653" cy="609653"/>
        </a:xfrm>
        <a:prstGeom prst="rect">
          <a:avLst/>
        </a:prstGeom>
        <a:ln w="19050">
          <a:noFill/>
        </a:ln>
      </xdr:spPr>
    </xdr:pic>
    <xdr:clientData/>
  </xdr:oneCellAnchor>
  <xdr:twoCellAnchor>
    <xdr:from>
      <xdr:col>3</xdr:col>
      <xdr:colOff>285751</xdr:colOff>
      <xdr:row>5</xdr:row>
      <xdr:rowOff>123825</xdr:rowOff>
    </xdr:from>
    <xdr:to>
      <xdr:col>3</xdr:col>
      <xdr:colOff>1414018</xdr:colOff>
      <xdr:row>5</xdr:row>
      <xdr:rowOff>1390650</xdr:rowOff>
    </xdr:to>
    <xdr:cxnSp macro="">
      <xdr:nvCxnSpPr>
        <xdr:cNvPr id="77" name="Прямая со стрелкой 76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>
          <a:off x="1828801" y="2524125"/>
          <a:ext cx="1128267" cy="1266825"/>
        </a:xfrm>
        <a:prstGeom prst="straightConnector1">
          <a:avLst/>
        </a:prstGeom>
        <a:ln w="19050">
          <a:prstDash val="solid"/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117176</xdr:colOff>
      <xdr:row>5</xdr:row>
      <xdr:rowOff>781764</xdr:rowOff>
    </xdr:from>
    <xdr:to>
      <xdr:col>3</xdr:col>
      <xdr:colOff>828675</xdr:colOff>
      <xdr:row>5</xdr:row>
      <xdr:rowOff>781764</xdr:rowOff>
    </xdr:to>
    <xdr:cxnSp macro="">
      <xdr:nvCxnSpPr>
        <xdr:cNvPr id="82" name="Прямая со стрелкой 81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>
          <a:off x="1660226" y="3182064"/>
          <a:ext cx="711499" cy="0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1057214</xdr:colOff>
      <xdr:row>6</xdr:row>
      <xdr:rowOff>1405861</xdr:rowOff>
    </xdr:from>
    <xdr:to>
      <xdr:col>3</xdr:col>
      <xdr:colOff>1132527</xdr:colOff>
      <xdr:row>6</xdr:row>
      <xdr:rowOff>1477861</xdr:rowOff>
    </xdr:to>
    <xdr:sp macro="" textlink="">
      <xdr:nvSpPr>
        <xdr:cNvPr id="86" name="Овал 85">
          <a:extLst>
            <a:ext uri="{FF2B5EF4-FFF2-40B4-BE49-F238E27FC236}">
              <a16:creationId xmlns:a16="http://schemas.microsoft.com/office/drawing/2014/main" xmlns="" id="{00000000-0008-0000-0900-00003D020000}"/>
            </a:ext>
          </a:extLst>
        </xdr:cNvPr>
        <xdr:cNvSpPr/>
      </xdr:nvSpPr>
      <xdr:spPr>
        <a:xfrm>
          <a:off x="2600264" y="5330161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525341</xdr:colOff>
      <xdr:row>6</xdr:row>
      <xdr:rowOff>163391</xdr:rowOff>
    </xdr:from>
    <xdr:to>
      <xdr:col>3</xdr:col>
      <xdr:colOff>1087812</xdr:colOff>
      <xdr:row>6</xdr:row>
      <xdr:rowOff>1417558</xdr:rowOff>
    </xdr:to>
    <xdr:cxnSp macro="">
      <xdr:nvCxnSpPr>
        <xdr:cNvPr id="87" name="Прямая со стрелкой 86">
          <a:extLst>
            <a:ext uri="{FF2B5EF4-FFF2-40B4-BE49-F238E27FC236}">
              <a16:creationId xmlns:a16="http://schemas.microsoft.com/office/drawing/2014/main" xmlns="" id="{00000000-0008-0000-0900-00003B020000}"/>
            </a:ext>
          </a:extLst>
        </xdr:cNvPr>
        <xdr:cNvCxnSpPr/>
      </xdr:nvCxnSpPr>
      <xdr:spPr>
        <a:xfrm flipH="1" flipV="1">
          <a:off x="2068391" y="4087691"/>
          <a:ext cx="562471" cy="1254167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523875</xdr:colOff>
      <xdr:row>6</xdr:row>
      <xdr:rowOff>161925</xdr:rowOff>
    </xdr:from>
    <xdr:to>
      <xdr:col>3</xdr:col>
      <xdr:colOff>1086346</xdr:colOff>
      <xdr:row>6</xdr:row>
      <xdr:rowOff>1416092</xdr:rowOff>
    </xdr:to>
    <xdr:cxnSp macro="">
      <xdr:nvCxnSpPr>
        <xdr:cNvPr id="88" name="Прямая со стрелкой 87">
          <a:extLst>
            <a:ext uri="{FF2B5EF4-FFF2-40B4-BE49-F238E27FC236}">
              <a16:creationId xmlns:a16="http://schemas.microsoft.com/office/drawing/2014/main" xmlns="" id="{00000000-0008-0000-0900-00003B020000}"/>
            </a:ext>
          </a:extLst>
        </xdr:cNvPr>
        <xdr:cNvCxnSpPr/>
      </xdr:nvCxnSpPr>
      <xdr:spPr>
        <a:xfrm flipV="1">
          <a:off x="2066925" y="4086225"/>
          <a:ext cx="562471" cy="1254167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495239</xdr:colOff>
      <xdr:row>7</xdr:row>
      <xdr:rowOff>1386811</xdr:rowOff>
    </xdr:from>
    <xdr:to>
      <xdr:col>3</xdr:col>
      <xdr:colOff>570552</xdr:colOff>
      <xdr:row>7</xdr:row>
      <xdr:rowOff>1458811</xdr:rowOff>
    </xdr:to>
    <xdr:sp macro="" textlink="">
      <xdr:nvSpPr>
        <xdr:cNvPr id="89" name="Овал 88">
          <a:extLst>
            <a:ext uri="{FF2B5EF4-FFF2-40B4-BE49-F238E27FC236}">
              <a16:creationId xmlns:a16="http://schemas.microsoft.com/office/drawing/2014/main" xmlns="" id="{00000000-0008-0000-0900-00003D020000}"/>
            </a:ext>
          </a:extLst>
        </xdr:cNvPr>
        <xdr:cNvSpPr/>
      </xdr:nvSpPr>
      <xdr:spPr>
        <a:xfrm>
          <a:off x="2038289" y="6835111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828675</xdr:colOff>
      <xdr:row>7</xdr:row>
      <xdr:rowOff>778222</xdr:rowOff>
    </xdr:from>
    <xdr:to>
      <xdr:col>3</xdr:col>
      <xdr:colOff>1106863</xdr:colOff>
      <xdr:row>7</xdr:row>
      <xdr:rowOff>1398509</xdr:rowOff>
    </xdr:to>
    <xdr:cxnSp macro="">
      <xdr:nvCxnSpPr>
        <xdr:cNvPr id="90" name="Прямая со стрелкой 89">
          <a:extLst>
            <a:ext uri="{FF2B5EF4-FFF2-40B4-BE49-F238E27FC236}">
              <a16:creationId xmlns:a16="http://schemas.microsoft.com/office/drawing/2014/main" xmlns="" id="{00000000-0008-0000-0900-00003B020000}"/>
            </a:ext>
          </a:extLst>
        </xdr:cNvPr>
        <xdr:cNvCxnSpPr/>
      </xdr:nvCxnSpPr>
      <xdr:spPr>
        <a:xfrm flipH="1" flipV="1">
          <a:off x="2371725" y="6226522"/>
          <a:ext cx="278188" cy="620287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542925</xdr:colOff>
      <xdr:row>7</xdr:row>
      <xdr:rowOff>142875</xdr:rowOff>
    </xdr:from>
    <xdr:to>
      <xdr:col>3</xdr:col>
      <xdr:colOff>1105396</xdr:colOff>
      <xdr:row>7</xdr:row>
      <xdr:rowOff>1397042</xdr:rowOff>
    </xdr:to>
    <xdr:cxnSp macro="">
      <xdr:nvCxnSpPr>
        <xdr:cNvPr id="91" name="Прямая со стрелкой 90">
          <a:extLst>
            <a:ext uri="{FF2B5EF4-FFF2-40B4-BE49-F238E27FC236}">
              <a16:creationId xmlns:a16="http://schemas.microsoft.com/office/drawing/2014/main" xmlns="" id="{00000000-0008-0000-0900-00003B020000}"/>
            </a:ext>
          </a:extLst>
        </xdr:cNvPr>
        <xdr:cNvCxnSpPr/>
      </xdr:nvCxnSpPr>
      <xdr:spPr>
        <a:xfrm flipV="1">
          <a:off x="2085975" y="5591175"/>
          <a:ext cx="562471" cy="1254167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832265</xdr:colOff>
      <xdr:row>7</xdr:row>
      <xdr:rowOff>30816</xdr:rowOff>
    </xdr:from>
    <xdr:to>
      <xdr:col>3</xdr:col>
      <xdr:colOff>832265</xdr:colOff>
      <xdr:row>7</xdr:row>
      <xdr:rowOff>762000</xdr:rowOff>
    </xdr:to>
    <xdr:cxnSp macro="">
      <xdr:nvCxnSpPr>
        <xdr:cNvPr id="92" name="Прямая со стрелкой 91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375315" y="5479116"/>
          <a:ext cx="0" cy="731184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790514</xdr:colOff>
      <xdr:row>8</xdr:row>
      <xdr:rowOff>1386811</xdr:rowOff>
    </xdr:from>
    <xdr:to>
      <xdr:col>3</xdr:col>
      <xdr:colOff>865827</xdr:colOff>
      <xdr:row>8</xdr:row>
      <xdr:rowOff>1458811</xdr:rowOff>
    </xdr:to>
    <xdr:sp macro="" textlink="">
      <xdr:nvSpPr>
        <xdr:cNvPr id="94" name="Овал 93">
          <a:extLst>
            <a:ext uri="{FF2B5EF4-FFF2-40B4-BE49-F238E27FC236}">
              <a16:creationId xmlns:a16="http://schemas.microsoft.com/office/drawing/2014/main" xmlns="" id="{00000000-0008-0000-0900-00003D020000}"/>
            </a:ext>
          </a:extLst>
        </xdr:cNvPr>
        <xdr:cNvSpPr/>
      </xdr:nvSpPr>
      <xdr:spPr>
        <a:xfrm>
          <a:off x="2333564" y="8359111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544391</xdr:colOff>
      <xdr:row>8</xdr:row>
      <xdr:rowOff>144341</xdr:rowOff>
    </xdr:from>
    <xdr:to>
      <xdr:col>3</xdr:col>
      <xdr:colOff>1106862</xdr:colOff>
      <xdr:row>8</xdr:row>
      <xdr:rowOff>1398508</xdr:rowOff>
    </xdr:to>
    <xdr:cxnSp macro="">
      <xdr:nvCxnSpPr>
        <xdr:cNvPr id="95" name="Прямая со стрелкой 94">
          <a:extLst>
            <a:ext uri="{FF2B5EF4-FFF2-40B4-BE49-F238E27FC236}">
              <a16:creationId xmlns:a16="http://schemas.microsoft.com/office/drawing/2014/main" xmlns="" id="{00000000-0008-0000-0900-00003B020000}"/>
            </a:ext>
          </a:extLst>
        </xdr:cNvPr>
        <xdr:cNvCxnSpPr/>
      </xdr:nvCxnSpPr>
      <xdr:spPr>
        <a:xfrm flipH="1" flipV="1">
          <a:off x="2087441" y="7116641"/>
          <a:ext cx="562471" cy="1254167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819150</xdr:colOff>
      <xdr:row>8</xdr:row>
      <xdr:rowOff>142876</xdr:rowOff>
    </xdr:from>
    <xdr:to>
      <xdr:col>3</xdr:col>
      <xdr:colOff>1105396</xdr:colOff>
      <xdr:row>8</xdr:row>
      <xdr:rowOff>781131</xdr:rowOff>
    </xdr:to>
    <xdr:cxnSp macro="">
      <xdr:nvCxnSpPr>
        <xdr:cNvPr id="96" name="Прямая со стрелкой 95">
          <a:extLst>
            <a:ext uri="{FF2B5EF4-FFF2-40B4-BE49-F238E27FC236}">
              <a16:creationId xmlns:a16="http://schemas.microsoft.com/office/drawing/2014/main" xmlns="" id="{00000000-0008-0000-0900-00003B020000}"/>
            </a:ext>
          </a:extLst>
        </xdr:cNvPr>
        <xdr:cNvCxnSpPr/>
      </xdr:nvCxnSpPr>
      <xdr:spPr>
        <a:xfrm flipV="1">
          <a:off x="2362200" y="7115176"/>
          <a:ext cx="286246" cy="638255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832265</xdr:colOff>
      <xdr:row>8</xdr:row>
      <xdr:rowOff>764241</xdr:rowOff>
    </xdr:from>
    <xdr:to>
      <xdr:col>3</xdr:col>
      <xdr:colOff>832265</xdr:colOff>
      <xdr:row>8</xdr:row>
      <xdr:rowOff>1409700</xdr:rowOff>
    </xdr:to>
    <xdr:cxnSp macro="">
      <xdr:nvCxnSpPr>
        <xdr:cNvPr id="98" name="Прямая со стрелкой 97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375315" y="7736541"/>
          <a:ext cx="0" cy="645459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495239</xdr:colOff>
      <xdr:row>9</xdr:row>
      <xdr:rowOff>1424911</xdr:rowOff>
    </xdr:from>
    <xdr:to>
      <xdr:col>3</xdr:col>
      <xdr:colOff>570552</xdr:colOff>
      <xdr:row>9</xdr:row>
      <xdr:rowOff>1496911</xdr:rowOff>
    </xdr:to>
    <xdr:sp macro="" textlink="">
      <xdr:nvSpPr>
        <xdr:cNvPr id="103" name="Овал 102">
          <a:extLst>
            <a:ext uri="{FF2B5EF4-FFF2-40B4-BE49-F238E27FC236}">
              <a16:creationId xmlns:a16="http://schemas.microsoft.com/office/drawing/2014/main" xmlns="" id="{00000000-0008-0000-0900-00003D020000}"/>
            </a:ext>
          </a:extLst>
        </xdr:cNvPr>
        <xdr:cNvSpPr/>
      </xdr:nvSpPr>
      <xdr:spPr>
        <a:xfrm>
          <a:off x="2038289" y="9921211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828675</xdr:colOff>
      <xdr:row>9</xdr:row>
      <xdr:rowOff>816322</xdr:rowOff>
    </xdr:from>
    <xdr:to>
      <xdr:col>3</xdr:col>
      <xdr:colOff>1106863</xdr:colOff>
      <xdr:row>9</xdr:row>
      <xdr:rowOff>1436609</xdr:rowOff>
    </xdr:to>
    <xdr:cxnSp macro="">
      <xdr:nvCxnSpPr>
        <xdr:cNvPr id="104" name="Прямая со стрелкой 103">
          <a:extLst>
            <a:ext uri="{FF2B5EF4-FFF2-40B4-BE49-F238E27FC236}">
              <a16:creationId xmlns:a16="http://schemas.microsoft.com/office/drawing/2014/main" xmlns="" id="{00000000-0008-0000-0900-00003B020000}"/>
            </a:ext>
          </a:extLst>
        </xdr:cNvPr>
        <xdr:cNvCxnSpPr/>
      </xdr:nvCxnSpPr>
      <xdr:spPr>
        <a:xfrm flipH="1" flipV="1">
          <a:off x="2371725" y="9312622"/>
          <a:ext cx="278188" cy="620287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542925</xdr:colOff>
      <xdr:row>9</xdr:row>
      <xdr:rowOff>180975</xdr:rowOff>
    </xdr:from>
    <xdr:to>
      <xdr:col>3</xdr:col>
      <xdr:colOff>1105396</xdr:colOff>
      <xdr:row>9</xdr:row>
      <xdr:rowOff>1435142</xdr:rowOff>
    </xdr:to>
    <xdr:cxnSp macro="">
      <xdr:nvCxnSpPr>
        <xdr:cNvPr id="105" name="Прямая со стрелкой 104">
          <a:extLst>
            <a:ext uri="{FF2B5EF4-FFF2-40B4-BE49-F238E27FC236}">
              <a16:creationId xmlns:a16="http://schemas.microsoft.com/office/drawing/2014/main" xmlns="" id="{00000000-0008-0000-0900-00003B020000}"/>
            </a:ext>
          </a:extLst>
        </xdr:cNvPr>
        <xdr:cNvCxnSpPr/>
      </xdr:nvCxnSpPr>
      <xdr:spPr>
        <a:xfrm flipV="1">
          <a:off x="2085975" y="8677275"/>
          <a:ext cx="562471" cy="1254167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832265</xdr:colOff>
      <xdr:row>9</xdr:row>
      <xdr:rowOff>68916</xdr:rowOff>
    </xdr:from>
    <xdr:to>
      <xdr:col>3</xdr:col>
      <xdr:colOff>832265</xdr:colOff>
      <xdr:row>9</xdr:row>
      <xdr:rowOff>800100</xdr:rowOff>
    </xdr:to>
    <xdr:cxnSp macro="">
      <xdr:nvCxnSpPr>
        <xdr:cNvPr id="106" name="Прямая со стрелкой 10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375315" y="8565216"/>
          <a:ext cx="0" cy="731184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803918</xdr:colOff>
      <xdr:row>10</xdr:row>
      <xdr:rowOff>1398398</xdr:rowOff>
    </xdr:from>
    <xdr:to>
      <xdr:col>3</xdr:col>
      <xdr:colOff>879231</xdr:colOff>
      <xdr:row>10</xdr:row>
      <xdr:rowOff>1470398</xdr:rowOff>
    </xdr:to>
    <xdr:sp macro="" textlink="">
      <xdr:nvSpPr>
        <xdr:cNvPr id="110" name="Овал 109">
          <a:extLst>
            <a:ext uri="{FF2B5EF4-FFF2-40B4-BE49-F238E27FC236}">
              <a16:creationId xmlns:a16="http://schemas.microsoft.com/office/drawing/2014/main" xmlns="" id="{00000000-0008-0000-0900-00003D020000}"/>
            </a:ext>
          </a:extLst>
        </xdr:cNvPr>
        <xdr:cNvSpPr/>
      </xdr:nvSpPr>
      <xdr:spPr>
        <a:xfrm>
          <a:off x="2346968" y="11418698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833329</xdr:colOff>
      <xdr:row>10</xdr:row>
      <xdr:rowOff>123825</xdr:rowOff>
    </xdr:from>
    <xdr:to>
      <xdr:col>3</xdr:col>
      <xdr:colOff>833329</xdr:colOff>
      <xdr:row>10</xdr:row>
      <xdr:rowOff>1452635</xdr:rowOff>
    </xdr:to>
    <xdr:cxnSp macro="">
      <xdr:nvCxnSpPr>
        <xdr:cNvPr id="111" name="Прямая со стрелкой 110">
          <a:extLst>
            <a:ext uri="{FF2B5EF4-FFF2-40B4-BE49-F238E27FC236}">
              <a16:creationId xmlns:a16="http://schemas.microsoft.com/office/drawing/2014/main" xmlns="" id="{00000000-0008-0000-0900-00003B020000}"/>
            </a:ext>
          </a:extLst>
        </xdr:cNvPr>
        <xdr:cNvCxnSpPr/>
      </xdr:nvCxnSpPr>
      <xdr:spPr>
        <a:xfrm flipV="1">
          <a:off x="2376379" y="10144125"/>
          <a:ext cx="0" cy="1328810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95250</xdr:colOff>
      <xdr:row>10</xdr:row>
      <xdr:rowOff>783623</xdr:rowOff>
    </xdr:from>
    <xdr:to>
      <xdr:col>3</xdr:col>
      <xdr:colOff>1530243</xdr:colOff>
      <xdr:row>10</xdr:row>
      <xdr:rowOff>783623</xdr:rowOff>
    </xdr:to>
    <xdr:cxnSp macro="">
      <xdr:nvCxnSpPr>
        <xdr:cNvPr id="112" name="Прямая со стрелкой 111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 flipH="1">
          <a:off x="1638300" y="10803923"/>
          <a:ext cx="1434993" cy="0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803918</xdr:colOff>
      <xdr:row>11</xdr:row>
      <xdr:rowOff>1407923</xdr:rowOff>
    </xdr:from>
    <xdr:to>
      <xdr:col>3</xdr:col>
      <xdr:colOff>879231</xdr:colOff>
      <xdr:row>11</xdr:row>
      <xdr:rowOff>1479923</xdr:rowOff>
    </xdr:to>
    <xdr:sp macro="" textlink="">
      <xdr:nvSpPr>
        <xdr:cNvPr id="118" name="Овал 117">
          <a:extLst>
            <a:ext uri="{FF2B5EF4-FFF2-40B4-BE49-F238E27FC236}">
              <a16:creationId xmlns:a16="http://schemas.microsoft.com/office/drawing/2014/main" xmlns="" id="{00000000-0008-0000-0900-00003D020000}"/>
            </a:ext>
          </a:extLst>
        </xdr:cNvPr>
        <xdr:cNvSpPr/>
      </xdr:nvSpPr>
      <xdr:spPr>
        <a:xfrm>
          <a:off x="2346968" y="12952223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833329</xdr:colOff>
      <xdr:row>11</xdr:row>
      <xdr:rowOff>133350</xdr:rowOff>
    </xdr:from>
    <xdr:to>
      <xdr:col>3</xdr:col>
      <xdr:colOff>833329</xdr:colOff>
      <xdr:row>11</xdr:row>
      <xdr:rowOff>1462160</xdr:rowOff>
    </xdr:to>
    <xdr:cxnSp macro="">
      <xdr:nvCxnSpPr>
        <xdr:cNvPr id="119" name="Прямая со стрелкой 118">
          <a:extLst>
            <a:ext uri="{FF2B5EF4-FFF2-40B4-BE49-F238E27FC236}">
              <a16:creationId xmlns:a16="http://schemas.microsoft.com/office/drawing/2014/main" xmlns="" id="{00000000-0008-0000-0900-00003B020000}"/>
            </a:ext>
          </a:extLst>
        </xdr:cNvPr>
        <xdr:cNvCxnSpPr/>
      </xdr:nvCxnSpPr>
      <xdr:spPr>
        <a:xfrm flipV="1">
          <a:off x="2376379" y="11677650"/>
          <a:ext cx="0" cy="1328810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95250</xdr:colOff>
      <xdr:row>11</xdr:row>
      <xdr:rowOff>793148</xdr:rowOff>
    </xdr:from>
    <xdr:to>
      <xdr:col>3</xdr:col>
      <xdr:colOff>1530243</xdr:colOff>
      <xdr:row>11</xdr:row>
      <xdr:rowOff>793148</xdr:rowOff>
    </xdr:to>
    <xdr:cxnSp macro="">
      <xdr:nvCxnSpPr>
        <xdr:cNvPr id="120" name="Прямая со стрелкой 119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 flipH="1">
          <a:off x="1638300" y="12337448"/>
          <a:ext cx="1434993" cy="0"/>
        </a:xfrm>
        <a:prstGeom prst="straightConnector1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161925</xdr:colOff>
      <xdr:row>11</xdr:row>
      <xdr:rowOff>790575</xdr:rowOff>
    </xdr:from>
    <xdr:to>
      <xdr:col>3</xdr:col>
      <xdr:colOff>647700</xdr:colOff>
      <xdr:row>11</xdr:row>
      <xdr:rowOff>1276350</xdr:rowOff>
    </xdr:to>
    <xdr:cxnSp macro="">
      <xdr:nvCxnSpPr>
        <xdr:cNvPr id="21" name="Прямая соединительная линия 20"/>
        <xdr:cNvCxnSpPr/>
      </xdr:nvCxnSpPr>
      <xdr:spPr>
        <a:xfrm flipH="1">
          <a:off x="1704975" y="12334875"/>
          <a:ext cx="485775" cy="485775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803918</xdr:colOff>
      <xdr:row>12</xdr:row>
      <xdr:rowOff>1367102</xdr:rowOff>
    </xdr:from>
    <xdr:to>
      <xdr:col>3</xdr:col>
      <xdr:colOff>879231</xdr:colOff>
      <xdr:row>12</xdr:row>
      <xdr:rowOff>1439102</xdr:rowOff>
    </xdr:to>
    <xdr:sp macro="" textlink="">
      <xdr:nvSpPr>
        <xdr:cNvPr id="121" name="Овал 120">
          <a:extLst>
            <a:ext uri="{FF2B5EF4-FFF2-40B4-BE49-F238E27FC236}">
              <a16:creationId xmlns:a16="http://schemas.microsoft.com/office/drawing/2014/main" xmlns="" id="{00000000-0008-0000-0900-00003D020000}"/>
            </a:ext>
          </a:extLst>
        </xdr:cNvPr>
        <xdr:cNvSpPr/>
      </xdr:nvSpPr>
      <xdr:spPr>
        <a:xfrm>
          <a:off x="2355132" y="14429959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833329</xdr:colOff>
      <xdr:row>12</xdr:row>
      <xdr:rowOff>92529</xdr:rowOff>
    </xdr:from>
    <xdr:to>
      <xdr:col>3</xdr:col>
      <xdr:colOff>833329</xdr:colOff>
      <xdr:row>12</xdr:row>
      <xdr:rowOff>1421339</xdr:rowOff>
    </xdr:to>
    <xdr:cxnSp macro="">
      <xdr:nvCxnSpPr>
        <xdr:cNvPr id="122" name="Прямая со стрелкой 121">
          <a:extLst>
            <a:ext uri="{FF2B5EF4-FFF2-40B4-BE49-F238E27FC236}">
              <a16:creationId xmlns:a16="http://schemas.microsoft.com/office/drawing/2014/main" xmlns="" id="{00000000-0008-0000-0900-00003B020000}"/>
            </a:ext>
          </a:extLst>
        </xdr:cNvPr>
        <xdr:cNvCxnSpPr/>
      </xdr:nvCxnSpPr>
      <xdr:spPr>
        <a:xfrm flipV="1">
          <a:off x="2384543" y="13155386"/>
          <a:ext cx="0" cy="1328810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819150</xdr:colOff>
      <xdr:row>12</xdr:row>
      <xdr:rowOff>752327</xdr:rowOff>
    </xdr:from>
    <xdr:to>
      <xdr:col>3</xdr:col>
      <xdr:colOff>1530244</xdr:colOff>
      <xdr:row>12</xdr:row>
      <xdr:rowOff>752327</xdr:rowOff>
    </xdr:to>
    <xdr:cxnSp macro="">
      <xdr:nvCxnSpPr>
        <xdr:cNvPr id="123" name="Прямая со стрелкой 122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 flipH="1">
          <a:off x="2362200" y="13820627"/>
          <a:ext cx="711094" cy="0"/>
        </a:xfrm>
        <a:prstGeom prst="straightConnector1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219075</xdr:colOff>
      <xdr:row>12</xdr:row>
      <xdr:rowOff>151046</xdr:rowOff>
    </xdr:from>
    <xdr:to>
      <xdr:col>3</xdr:col>
      <xdr:colOff>828675</xdr:colOff>
      <xdr:row>12</xdr:row>
      <xdr:rowOff>760646</xdr:rowOff>
    </xdr:to>
    <xdr:cxnSp macro="">
      <xdr:nvCxnSpPr>
        <xdr:cNvPr id="124" name="Прямая соединительная линия 123"/>
        <xdr:cNvCxnSpPr/>
      </xdr:nvCxnSpPr>
      <xdr:spPr>
        <a:xfrm flipH="1" flipV="1">
          <a:off x="1770289" y="13213903"/>
          <a:ext cx="609600" cy="609600"/>
        </a:xfrm>
        <a:prstGeom prst="line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884841</xdr:colOff>
      <xdr:row>4</xdr:row>
      <xdr:rowOff>33616</xdr:rowOff>
    </xdr:from>
    <xdr:to>
      <xdr:col>6</xdr:col>
      <xdr:colOff>224579</xdr:colOff>
      <xdr:row>4</xdr:row>
      <xdr:rowOff>1085510</xdr:rowOff>
    </xdr:to>
    <xdr:grpSp>
      <xdr:nvGrpSpPr>
        <xdr:cNvPr id="48" name="Группа 47"/>
        <xdr:cNvGrpSpPr/>
      </xdr:nvGrpSpPr>
      <xdr:grpSpPr>
        <a:xfrm>
          <a:off x="4009041" y="909916"/>
          <a:ext cx="1835288" cy="1051894"/>
          <a:chOff x="4025141" y="7562278"/>
          <a:chExt cx="1826820" cy="1051894"/>
        </a:xfrm>
      </xdr:grpSpPr>
      <xdr:cxnSp macro="">
        <xdr:nvCxnSpPr>
          <xdr:cNvPr id="50" name="Прямая со стрелкой 49"/>
          <xdr:cNvCxnSpPr/>
        </xdr:nvCxnSpPr>
        <xdr:spPr>
          <a:xfrm flipV="1">
            <a:off x="4045744" y="7633098"/>
            <a:ext cx="0" cy="981074"/>
          </a:xfrm>
          <a:prstGeom prst="straightConnector1">
            <a:avLst/>
          </a:prstGeom>
          <a:ln w="63500">
            <a:solidFill>
              <a:schemeClr val="bg1"/>
            </a:solidFill>
            <a:tailEnd type="triangl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1" name="Полилиния 50"/>
          <xdr:cNvSpPr/>
        </xdr:nvSpPr>
        <xdr:spPr>
          <a:xfrm>
            <a:off x="4031819" y="8299433"/>
            <a:ext cx="602761" cy="248478"/>
          </a:xfrm>
          <a:custGeom>
            <a:avLst/>
            <a:gdLst>
              <a:gd name="connsiteX0" fmla="*/ 0 w 496957"/>
              <a:gd name="connsiteY0" fmla="*/ 248478 h 248478"/>
              <a:gd name="connsiteX1" fmla="*/ 306457 w 496957"/>
              <a:gd name="connsiteY1" fmla="*/ 0 h 248478"/>
              <a:gd name="connsiteX2" fmla="*/ 496957 w 496957"/>
              <a:gd name="connsiteY2" fmla="*/ 0 h 24847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496957" h="248478">
                <a:moveTo>
                  <a:pt x="0" y="248478"/>
                </a:moveTo>
                <a:lnTo>
                  <a:pt x="306457" y="0"/>
                </a:lnTo>
                <a:lnTo>
                  <a:pt x="496957" y="0"/>
                </a:lnTo>
              </a:path>
            </a:pathLst>
          </a:custGeom>
          <a:noFill/>
          <a:ln w="63500">
            <a:solidFill>
              <a:schemeClr val="bg1"/>
            </a:solidFill>
            <a:tailEnd type="triangle" w="med" len="sm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52" name="Дуга 51"/>
          <xdr:cNvSpPr/>
        </xdr:nvSpPr>
        <xdr:spPr>
          <a:xfrm>
            <a:off x="4025141" y="8067519"/>
            <a:ext cx="356152" cy="356152"/>
          </a:xfrm>
          <a:prstGeom prst="arc">
            <a:avLst>
              <a:gd name="adj1" fmla="val 15033602"/>
              <a:gd name="adj2" fmla="val 1194360"/>
            </a:avLst>
          </a:prstGeom>
          <a:noFill/>
          <a:ln w="63500">
            <a:solidFill>
              <a:schemeClr val="bg1"/>
            </a:solidFill>
            <a:headEnd type="triangle" w="med" len="sm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53" name="TextBox 52"/>
          <xdr:cNvSpPr txBox="1"/>
        </xdr:nvSpPr>
        <xdr:spPr>
          <a:xfrm>
            <a:off x="4415948" y="7562278"/>
            <a:ext cx="1008407" cy="4058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000" b="1">
                <a:solidFill>
                  <a:schemeClr val="bg1"/>
                </a:solidFill>
              </a:rPr>
              <a:t>РОСЛАВЛЬ</a:t>
            </a:r>
          </a:p>
          <a:p>
            <a:r>
              <a:rPr lang="ru-RU" sz="1000" b="1">
                <a:solidFill>
                  <a:schemeClr val="bg1"/>
                </a:solidFill>
              </a:rPr>
              <a:t>БРЯНСК</a:t>
            </a:r>
          </a:p>
        </xdr:txBody>
      </xdr:sp>
      <xdr:sp macro="" textlink="">
        <xdr:nvSpPr>
          <xdr:cNvPr id="54" name="TextBox 53"/>
          <xdr:cNvSpPr txBox="1"/>
        </xdr:nvSpPr>
        <xdr:spPr>
          <a:xfrm>
            <a:off x="4645187" y="7933987"/>
            <a:ext cx="1008590" cy="2650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000" b="1">
                <a:solidFill>
                  <a:schemeClr val="bg1"/>
                </a:solidFill>
              </a:rPr>
              <a:t>КАРДЫМОВО</a:t>
            </a:r>
          </a:p>
        </xdr:txBody>
      </xdr:sp>
      <xdr:sp macro="" textlink="">
        <xdr:nvSpPr>
          <xdr:cNvPr id="55" name="TextBox 54"/>
          <xdr:cNvSpPr txBox="1"/>
        </xdr:nvSpPr>
        <xdr:spPr>
          <a:xfrm>
            <a:off x="4846401" y="8158627"/>
            <a:ext cx="1005560" cy="2650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000" b="1">
                <a:solidFill>
                  <a:schemeClr val="bg1"/>
                </a:solidFill>
              </a:rPr>
              <a:t>СМОЛЕНСК</a:t>
            </a:r>
          </a:p>
        </xdr:txBody>
      </xdr:sp>
      <xdr:sp macro="" textlink="">
        <xdr:nvSpPr>
          <xdr:cNvPr id="56" name="Скругленный прямоугольник 55"/>
          <xdr:cNvSpPr/>
        </xdr:nvSpPr>
        <xdr:spPr>
          <a:xfrm>
            <a:off x="4188490" y="7624907"/>
            <a:ext cx="281002" cy="134339"/>
          </a:xfrm>
          <a:prstGeom prst="roundRect">
            <a:avLst/>
          </a:prstGeom>
          <a:noFill/>
          <a:ln w="19050">
            <a:solidFill>
              <a:schemeClr val="bg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ru-RU" sz="800" b="1"/>
              <a:t>А141</a:t>
            </a:r>
          </a:p>
        </xdr:txBody>
      </xdr:sp>
      <xdr:sp macro="" textlink="">
        <xdr:nvSpPr>
          <xdr:cNvPr id="57" name="Скругленный прямоугольник 56"/>
          <xdr:cNvSpPr/>
        </xdr:nvSpPr>
        <xdr:spPr>
          <a:xfrm>
            <a:off x="4406868" y="7991968"/>
            <a:ext cx="282163" cy="134339"/>
          </a:xfrm>
          <a:prstGeom prst="roundRect">
            <a:avLst/>
          </a:prstGeom>
          <a:noFill/>
          <a:ln w="19050">
            <a:solidFill>
              <a:schemeClr val="bg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ru-RU" sz="800" b="1"/>
              <a:t>Р134</a:t>
            </a:r>
          </a:p>
        </xdr:txBody>
      </xdr:sp>
      <xdr:sp macro="" textlink="">
        <xdr:nvSpPr>
          <xdr:cNvPr id="58" name="Скругленный прямоугольник 57"/>
          <xdr:cNvSpPr/>
        </xdr:nvSpPr>
        <xdr:spPr>
          <a:xfrm>
            <a:off x="4649643" y="8214993"/>
            <a:ext cx="281002" cy="134339"/>
          </a:xfrm>
          <a:prstGeom prst="roundRect">
            <a:avLst/>
          </a:prstGeom>
          <a:noFill/>
          <a:ln w="19050">
            <a:solidFill>
              <a:schemeClr val="bg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ru-RU" sz="800" b="1"/>
              <a:t>Р134</a:t>
            </a:r>
          </a:p>
        </xdr:txBody>
      </xdr:sp>
      <xdr:sp macro="" textlink="">
        <xdr:nvSpPr>
          <xdr:cNvPr id="59" name="Скругленный прямоугольник 58"/>
          <xdr:cNvSpPr/>
        </xdr:nvSpPr>
        <xdr:spPr>
          <a:xfrm>
            <a:off x="4661143" y="8451956"/>
            <a:ext cx="367061" cy="134339"/>
          </a:xfrm>
          <a:prstGeom prst="roundRect">
            <a:avLst/>
          </a:prstGeom>
          <a:noFill/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ru-RU" sz="800" b="1"/>
              <a:t>300 м</a:t>
            </a:r>
          </a:p>
        </xdr:txBody>
      </xdr:sp>
    </xdr:grpSp>
    <xdr:clientData/>
  </xdr:twoCellAnchor>
  <xdr:twoCellAnchor>
    <xdr:from>
      <xdr:col>3</xdr:col>
      <xdr:colOff>1218855</xdr:colOff>
      <xdr:row>4</xdr:row>
      <xdr:rowOff>716685</xdr:rowOff>
    </xdr:from>
    <xdr:to>
      <xdr:col>3</xdr:col>
      <xdr:colOff>1290855</xdr:colOff>
      <xdr:row>4</xdr:row>
      <xdr:rowOff>788685</xdr:rowOff>
    </xdr:to>
    <xdr:sp macro="" textlink="">
      <xdr:nvSpPr>
        <xdr:cNvPr id="60" name="5-конечная звезда 59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765267" y="1613156"/>
          <a:ext cx="72000" cy="72000"/>
        </a:xfrm>
        <a:prstGeom prst="star5">
          <a:avLst/>
        </a:prstGeom>
        <a:noFill/>
        <a:ln w="19050">
          <a:solidFill>
            <a:srgbClr val="0070C0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619125</xdr:colOff>
      <xdr:row>7</xdr:row>
      <xdr:rowOff>119453</xdr:rowOff>
    </xdr:from>
    <xdr:to>
      <xdr:col>3</xdr:col>
      <xdr:colOff>821113</xdr:colOff>
      <xdr:row>7</xdr:row>
      <xdr:rowOff>569835</xdr:rowOff>
    </xdr:to>
    <xdr:cxnSp macro="">
      <xdr:nvCxnSpPr>
        <xdr:cNvPr id="62" name="Прямая со стрелкой 61">
          <a:extLst>
            <a:ext uri="{FF2B5EF4-FFF2-40B4-BE49-F238E27FC236}">
              <a16:creationId xmlns:a16="http://schemas.microsoft.com/office/drawing/2014/main" xmlns="" id="{00000000-0008-0000-0900-00003B020000}"/>
            </a:ext>
          </a:extLst>
        </xdr:cNvPr>
        <xdr:cNvCxnSpPr/>
      </xdr:nvCxnSpPr>
      <xdr:spPr>
        <a:xfrm flipH="1" flipV="1">
          <a:off x="2162175" y="5567753"/>
          <a:ext cx="201988" cy="450382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602766</xdr:colOff>
      <xdr:row>8</xdr:row>
      <xdr:rowOff>914403</xdr:rowOff>
    </xdr:from>
    <xdr:to>
      <xdr:col>3</xdr:col>
      <xdr:colOff>829171</xdr:colOff>
      <xdr:row>8</xdr:row>
      <xdr:rowOff>1419225</xdr:rowOff>
    </xdr:to>
    <xdr:cxnSp macro="">
      <xdr:nvCxnSpPr>
        <xdr:cNvPr id="65" name="Прямая со стрелкой 64">
          <a:extLst>
            <a:ext uri="{FF2B5EF4-FFF2-40B4-BE49-F238E27FC236}">
              <a16:creationId xmlns:a16="http://schemas.microsoft.com/office/drawing/2014/main" xmlns="" id="{00000000-0008-0000-0900-00003B020000}"/>
            </a:ext>
          </a:extLst>
        </xdr:cNvPr>
        <xdr:cNvCxnSpPr/>
      </xdr:nvCxnSpPr>
      <xdr:spPr>
        <a:xfrm flipV="1">
          <a:off x="2145816" y="7886703"/>
          <a:ext cx="226405" cy="504822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628650</xdr:colOff>
      <xdr:row>9</xdr:row>
      <xdr:rowOff>169266</xdr:rowOff>
    </xdr:from>
    <xdr:to>
      <xdr:col>3</xdr:col>
      <xdr:colOff>821113</xdr:colOff>
      <xdr:row>9</xdr:row>
      <xdr:rowOff>598410</xdr:rowOff>
    </xdr:to>
    <xdr:cxnSp macro="">
      <xdr:nvCxnSpPr>
        <xdr:cNvPr id="69" name="Прямая со стрелкой 68">
          <a:extLst>
            <a:ext uri="{FF2B5EF4-FFF2-40B4-BE49-F238E27FC236}">
              <a16:creationId xmlns:a16="http://schemas.microsoft.com/office/drawing/2014/main" xmlns="" id="{00000000-0008-0000-0900-00003B020000}"/>
            </a:ext>
          </a:extLst>
        </xdr:cNvPr>
        <xdr:cNvCxnSpPr/>
      </xdr:nvCxnSpPr>
      <xdr:spPr>
        <a:xfrm flipH="1" flipV="1">
          <a:off x="2171700" y="8665566"/>
          <a:ext cx="192463" cy="429144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361950</xdr:colOff>
      <xdr:row>10</xdr:row>
      <xdr:rowOff>942975</xdr:rowOff>
    </xdr:from>
    <xdr:to>
      <xdr:col>3</xdr:col>
      <xdr:colOff>828675</xdr:colOff>
      <xdr:row>10</xdr:row>
      <xdr:rowOff>1409700</xdr:rowOff>
    </xdr:to>
    <xdr:cxnSp macro="">
      <xdr:nvCxnSpPr>
        <xdr:cNvPr id="71" name="Прямая соединительная линия 70"/>
        <xdr:cNvCxnSpPr/>
      </xdr:nvCxnSpPr>
      <xdr:spPr>
        <a:xfrm flipH="1">
          <a:off x="1905000" y="10963275"/>
          <a:ext cx="466725" cy="466725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104775</xdr:colOff>
      <xdr:row>12</xdr:row>
      <xdr:rowOff>895202</xdr:rowOff>
    </xdr:from>
    <xdr:to>
      <xdr:col>3</xdr:col>
      <xdr:colOff>815869</xdr:colOff>
      <xdr:row>12</xdr:row>
      <xdr:rowOff>895202</xdr:rowOff>
    </xdr:to>
    <xdr:cxnSp macro="">
      <xdr:nvCxnSpPr>
        <xdr:cNvPr id="75" name="Прямая со стрелкой 74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 flipH="1">
          <a:off x="1647825" y="13963502"/>
          <a:ext cx="711094" cy="0"/>
        </a:xfrm>
        <a:prstGeom prst="straightConnector1">
          <a:avLst/>
        </a:prstGeom>
        <a:ln w="19050">
          <a:solidFill>
            <a:schemeClr val="tx1"/>
          </a:solidFill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762000</xdr:colOff>
      <xdr:row>4</xdr:row>
      <xdr:rowOff>57150</xdr:rowOff>
    </xdr:from>
    <xdr:to>
      <xdr:col>6</xdr:col>
      <xdr:colOff>226259</xdr:colOff>
      <xdr:row>4</xdr:row>
      <xdr:rowOff>1109044</xdr:rowOff>
    </xdr:to>
    <xdr:grpSp>
      <xdr:nvGrpSpPr>
        <xdr:cNvPr id="66" name="Группа 65"/>
        <xdr:cNvGrpSpPr/>
      </xdr:nvGrpSpPr>
      <xdr:grpSpPr>
        <a:xfrm>
          <a:off x="3886200" y="933450"/>
          <a:ext cx="1959809" cy="1051894"/>
          <a:chOff x="3902868" y="7562278"/>
          <a:chExt cx="1958612" cy="1051894"/>
        </a:xfrm>
      </xdr:grpSpPr>
      <xdr:sp macro="" textlink="">
        <xdr:nvSpPr>
          <xdr:cNvPr id="67" name="Прямоугольник 66"/>
          <xdr:cNvSpPr/>
        </xdr:nvSpPr>
        <xdr:spPr>
          <a:xfrm>
            <a:off x="3902868" y="7585472"/>
            <a:ext cx="1703935" cy="1019175"/>
          </a:xfrm>
          <a:prstGeom prst="rect">
            <a:avLst/>
          </a:prstGeom>
          <a:solidFill>
            <a:srgbClr val="0070C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68" name="Прямая со стрелкой 67"/>
          <xdr:cNvCxnSpPr/>
        </xdr:nvCxnSpPr>
        <xdr:spPr>
          <a:xfrm flipV="1">
            <a:off x="4045744" y="7633098"/>
            <a:ext cx="0" cy="981074"/>
          </a:xfrm>
          <a:prstGeom prst="straightConnector1">
            <a:avLst/>
          </a:prstGeom>
          <a:ln w="63500">
            <a:solidFill>
              <a:schemeClr val="bg1"/>
            </a:solidFill>
            <a:tailEnd type="triangl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0" name="Полилиния 69"/>
          <xdr:cNvSpPr/>
        </xdr:nvSpPr>
        <xdr:spPr>
          <a:xfrm>
            <a:off x="4031819" y="8299433"/>
            <a:ext cx="602761" cy="248478"/>
          </a:xfrm>
          <a:custGeom>
            <a:avLst/>
            <a:gdLst>
              <a:gd name="connsiteX0" fmla="*/ 0 w 496957"/>
              <a:gd name="connsiteY0" fmla="*/ 248478 h 248478"/>
              <a:gd name="connsiteX1" fmla="*/ 306457 w 496957"/>
              <a:gd name="connsiteY1" fmla="*/ 0 h 248478"/>
              <a:gd name="connsiteX2" fmla="*/ 496957 w 496957"/>
              <a:gd name="connsiteY2" fmla="*/ 0 h 24847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496957" h="248478">
                <a:moveTo>
                  <a:pt x="0" y="248478"/>
                </a:moveTo>
                <a:lnTo>
                  <a:pt x="306457" y="0"/>
                </a:lnTo>
                <a:lnTo>
                  <a:pt x="496957" y="0"/>
                </a:lnTo>
              </a:path>
            </a:pathLst>
          </a:custGeom>
          <a:noFill/>
          <a:ln w="63500">
            <a:solidFill>
              <a:schemeClr val="bg1"/>
            </a:solidFill>
            <a:tailEnd type="triangle" w="med" len="sm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72" name="Дуга 71"/>
          <xdr:cNvSpPr/>
        </xdr:nvSpPr>
        <xdr:spPr>
          <a:xfrm>
            <a:off x="4025141" y="8067519"/>
            <a:ext cx="356152" cy="356152"/>
          </a:xfrm>
          <a:prstGeom prst="arc">
            <a:avLst>
              <a:gd name="adj1" fmla="val 15033602"/>
              <a:gd name="adj2" fmla="val 1194360"/>
            </a:avLst>
          </a:prstGeom>
          <a:noFill/>
          <a:ln w="63500">
            <a:solidFill>
              <a:schemeClr val="bg1"/>
            </a:solidFill>
            <a:headEnd type="triangle" w="med" len="sm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73" name="TextBox 72"/>
          <xdr:cNvSpPr txBox="1"/>
        </xdr:nvSpPr>
        <xdr:spPr>
          <a:xfrm>
            <a:off x="4415948" y="7562278"/>
            <a:ext cx="1008407" cy="4058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000" b="1">
                <a:solidFill>
                  <a:schemeClr val="bg1"/>
                </a:solidFill>
              </a:rPr>
              <a:t>РОСЛАВЛЬ</a:t>
            </a:r>
          </a:p>
          <a:p>
            <a:r>
              <a:rPr lang="ru-RU" sz="1000" b="1">
                <a:solidFill>
                  <a:schemeClr val="bg1"/>
                </a:solidFill>
              </a:rPr>
              <a:t>БРЯНСК</a:t>
            </a:r>
          </a:p>
        </xdr:txBody>
      </xdr:sp>
      <xdr:sp macro="" textlink="">
        <xdr:nvSpPr>
          <xdr:cNvPr id="74" name="TextBox 73"/>
          <xdr:cNvSpPr txBox="1"/>
        </xdr:nvSpPr>
        <xdr:spPr>
          <a:xfrm>
            <a:off x="4645187" y="7933987"/>
            <a:ext cx="1008590" cy="2650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000" b="1">
                <a:solidFill>
                  <a:schemeClr val="bg1"/>
                </a:solidFill>
              </a:rPr>
              <a:t>КАРДЫМОВО</a:t>
            </a:r>
          </a:p>
        </xdr:txBody>
      </xdr:sp>
      <xdr:sp macro="" textlink="">
        <xdr:nvSpPr>
          <xdr:cNvPr id="76" name="TextBox 75"/>
          <xdr:cNvSpPr txBox="1"/>
        </xdr:nvSpPr>
        <xdr:spPr>
          <a:xfrm>
            <a:off x="4855920" y="8158627"/>
            <a:ext cx="1005560" cy="2650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000" b="1">
                <a:solidFill>
                  <a:schemeClr val="bg1"/>
                </a:solidFill>
              </a:rPr>
              <a:t>СМОЛЕНСК</a:t>
            </a:r>
          </a:p>
        </xdr:txBody>
      </xdr:sp>
      <xdr:sp macro="" textlink="">
        <xdr:nvSpPr>
          <xdr:cNvPr id="78" name="Скругленный прямоугольник 77"/>
          <xdr:cNvSpPr/>
        </xdr:nvSpPr>
        <xdr:spPr>
          <a:xfrm>
            <a:off x="4188490" y="7624907"/>
            <a:ext cx="281002" cy="134339"/>
          </a:xfrm>
          <a:prstGeom prst="roundRect">
            <a:avLst/>
          </a:prstGeom>
          <a:noFill/>
          <a:ln w="19050">
            <a:solidFill>
              <a:schemeClr val="bg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ru-RU" sz="800" b="1"/>
              <a:t>А141</a:t>
            </a:r>
          </a:p>
        </xdr:txBody>
      </xdr:sp>
      <xdr:sp macro="" textlink="">
        <xdr:nvSpPr>
          <xdr:cNvPr id="79" name="Скругленный прямоугольник 78"/>
          <xdr:cNvSpPr/>
        </xdr:nvSpPr>
        <xdr:spPr>
          <a:xfrm>
            <a:off x="4406868" y="7991968"/>
            <a:ext cx="282163" cy="134339"/>
          </a:xfrm>
          <a:prstGeom prst="roundRect">
            <a:avLst/>
          </a:prstGeom>
          <a:noFill/>
          <a:ln w="19050">
            <a:solidFill>
              <a:schemeClr val="bg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ru-RU" sz="800" b="1"/>
              <a:t>Р134</a:t>
            </a:r>
          </a:p>
        </xdr:txBody>
      </xdr:sp>
      <xdr:sp macro="" textlink="">
        <xdr:nvSpPr>
          <xdr:cNvPr id="80" name="Скругленный прямоугольник 79"/>
          <xdr:cNvSpPr/>
        </xdr:nvSpPr>
        <xdr:spPr>
          <a:xfrm>
            <a:off x="4649643" y="8214993"/>
            <a:ext cx="281002" cy="134339"/>
          </a:xfrm>
          <a:prstGeom prst="roundRect">
            <a:avLst/>
          </a:prstGeom>
          <a:noFill/>
          <a:ln w="19050">
            <a:solidFill>
              <a:schemeClr val="bg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ru-RU" sz="800" b="1"/>
              <a:t>Р134</a:t>
            </a:r>
          </a:p>
        </xdr:txBody>
      </xdr:sp>
      <xdr:sp macro="" textlink="">
        <xdr:nvSpPr>
          <xdr:cNvPr id="81" name="Скругленный прямоугольник 80"/>
          <xdr:cNvSpPr/>
        </xdr:nvSpPr>
        <xdr:spPr>
          <a:xfrm>
            <a:off x="4661143" y="8451956"/>
            <a:ext cx="367061" cy="134339"/>
          </a:xfrm>
          <a:prstGeom prst="roundRect">
            <a:avLst/>
          </a:prstGeom>
          <a:noFill/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ru-RU" sz="800" b="1"/>
              <a:t>300 м</a:t>
            </a: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508271</xdr:colOff>
      <xdr:row>4</xdr:row>
      <xdr:rowOff>94532</xdr:rowOff>
    </xdr:from>
    <xdr:to>
      <xdr:col>4</xdr:col>
      <xdr:colOff>1124727</xdr:colOff>
      <xdr:row>4</xdr:row>
      <xdr:rowOff>704185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2471" y="970832"/>
          <a:ext cx="616456" cy="609653"/>
        </a:xfrm>
        <a:prstGeom prst="rect">
          <a:avLst/>
        </a:prstGeom>
      </xdr:spPr>
    </xdr:pic>
    <xdr:clientData/>
  </xdr:twoCellAnchor>
  <xdr:twoCellAnchor editAs="oneCell">
    <xdr:from>
      <xdr:col>5</xdr:col>
      <xdr:colOff>133751</xdr:colOff>
      <xdr:row>4</xdr:row>
      <xdr:rowOff>81962</xdr:rowOff>
    </xdr:from>
    <xdr:to>
      <xdr:col>5</xdr:col>
      <xdr:colOff>748526</xdr:colOff>
      <xdr:row>4</xdr:row>
      <xdr:rowOff>691615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9076" y="958262"/>
          <a:ext cx="614775" cy="609653"/>
        </a:xfrm>
        <a:prstGeom prst="rect">
          <a:avLst/>
        </a:prstGeom>
        <a:ln w="19050">
          <a:noFill/>
        </a:ln>
      </xdr:spPr>
    </xdr:pic>
    <xdr:clientData/>
  </xdr:twoCellAnchor>
  <xdr:twoCellAnchor>
    <xdr:from>
      <xdr:col>3</xdr:col>
      <xdr:colOff>1016117</xdr:colOff>
      <xdr:row>4</xdr:row>
      <xdr:rowOff>1342536</xdr:rowOff>
    </xdr:from>
    <xdr:to>
      <xdr:col>3</xdr:col>
      <xdr:colOff>1091619</xdr:colOff>
      <xdr:row>4</xdr:row>
      <xdr:rowOff>1414536</xdr:rowOff>
    </xdr:to>
    <xdr:sp macro="" textlink="">
      <xdr:nvSpPr>
        <xdr:cNvPr id="5" name="Овал 4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554771" y="2221767"/>
          <a:ext cx="75502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1231840</xdr:colOff>
      <xdr:row>4</xdr:row>
      <xdr:rowOff>1155421</xdr:rowOff>
    </xdr:from>
    <xdr:to>
      <xdr:col>3</xdr:col>
      <xdr:colOff>1303840</xdr:colOff>
      <xdr:row>4</xdr:row>
      <xdr:rowOff>1227421</xdr:rowOff>
    </xdr:to>
    <xdr:sp macro="" textlink="">
      <xdr:nvSpPr>
        <xdr:cNvPr id="6" name="5-конечная звезда 5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770494" y="2034652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797396</xdr:colOff>
      <xdr:row>4</xdr:row>
      <xdr:rowOff>1162748</xdr:rowOff>
    </xdr:from>
    <xdr:to>
      <xdr:col>3</xdr:col>
      <xdr:colOff>869396</xdr:colOff>
      <xdr:row>4</xdr:row>
      <xdr:rowOff>1234748</xdr:rowOff>
    </xdr:to>
    <xdr:sp macro="" textlink="">
      <xdr:nvSpPr>
        <xdr:cNvPr id="7" name="5-конечная звезда 6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2336050" y="2041979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302559</xdr:colOff>
      <xdr:row>0</xdr:row>
      <xdr:rowOff>134470</xdr:rowOff>
    </xdr:from>
    <xdr:to>
      <xdr:col>2</xdr:col>
      <xdr:colOff>253332</xdr:colOff>
      <xdr:row>2</xdr:row>
      <xdr:rowOff>109944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559" y="134470"/>
          <a:ext cx="912798" cy="413624"/>
        </a:xfrm>
        <a:prstGeom prst="rect">
          <a:avLst/>
        </a:prstGeom>
      </xdr:spPr>
    </xdr:pic>
    <xdr:clientData/>
  </xdr:twoCellAnchor>
  <xdr:twoCellAnchor>
    <xdr:from>
      <xdr:col>3</xdr:col>
      <xdr:colOff>672633</xdr:colOff>
      <xdr:row>4</xdr:row>
      <xdr:rowOff>78441</xdr:rowOff>
    </xdr:from>
    <xdr:to>
      <xdr:col>3</xdr:col>
      <xdr:colOff>672633</xdr:colOff>
      <xdr:row>4</xdr:row>
      <xdr:rowOff>1390397</xdr:rowOff>
    </xdr:to>
    <xdr:cxnSp macro="">
      <xdr:nvCxnSpPr>
        <xdr:cNvPr id="4" name="Прямая со стрелкой 3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211287" y="957672"/>
          <a:ext cx="0" cy="1311956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670630</xdr:colOff>
      <xdr:row>4</xdr:row>
      <xdr:rowOff>789295</xdr:rowOff>
    </xdr:from>
    <xdr:to>
      <xdr:col>3</xdr:col>
      <xdr:colOff>1044513</xdr:colOff>
      <xdr:row>4</xdr:row>
      <xdr:rowOff>1346666</xdr:rowOff>
    </xdr:to>
    <xdr:sp macro="" textlink="">
      <xdr:nvSpPr>
        <xdr:cNvPr id="166" name="Полилиния 165"/>
        <xdr:cNvSpPr/>
      </xdr:nvSpPr>
      <xdr:spPr>
        <a:xfrm>
          <a:off x="2209284" y="1668526"/>
          <a:ext cx="373883" cy="557371"/>
        </a:xfrm>
        <a:custGeom>
          <a:avLst/>
          <a:gdLst>
            <a:gd name="connsiteX0" fmla="*/ 515470 w 548081"/>
            <a:gd name="connsiteY0" fmla="*/ 549088 h 549088"/>
            <a:gd name="connsiteX1" fmla="*/ 526676 w 548081"/>
            <a:gd name="connsiteY1" fmla="*/ 235323 h 549088"/>
            <a:gd name="connsiteX2" fmla="*/ 268941 w 548081"/>
            <a:gd name="connsiteY2" fmla="*/ 56029 h 549088"/>
            <a:gd name="connsiteX3" fmla="*/ 0 w 548081"/>
            <a:gd name="connsiteY3" fmla="*/ 0 h 549088"/>
            <a:gd name="connsiteX0" fmla="*/ 565165 w 577786"/>
            <a:gd name="connsiteY0" fmla="*/ 557371 h 557371"/>
            <a:gd name="connsiteX1" fmla="*/ 526676 w 577786"/>
            <a:gd name="connsiteY1" fmla="*/ 235323 h 557371"/>
            <a:gd name="connsiteX2" fmla="*/ 268941 w 577786"/>
            <a:gd name="connsiteY2" fmla="*/ 56029 h 557371"/>
            <a:gd name="connsiteX3" fmla="*/ 0 w 577786"/>
            <a:gd name="connsiteY3" fmla="*/ 0 h 557371"/>
            <a:gd name="connsiteX0" fmla="*/ 565165 w 565711"/>
            <a:gd name="connsiteY0" fmla="*/ 557371 h 557371"/>
            <a:gd name="connsiteX1" fmla="*/ 526676 w 565711"/>
            <a:gd name="connsiteY1" fmla="*/ 235323 h 557371"/>
            <a:gd name="connsiteX2" fmla="*/ 268941 w 565711"/>
            <a:gd name="connsiteY2" fmla="*/ 56029 h 557371"/>
            <a:gd name="connsiteX3" fmla="*/ 0 w 565711"/>
            <a:gd name="connsiteY3" fmla="*/ 0 h 55737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65711" h="557371">
              <a:moveTo>
                <a:pt x="565165" y="557371"/>
              </a:moveTo>
              <a:cubicBezTo>
                <a:pt x="564097" y="376262"/>
                <a:pt x="576047" y="318880"/>
                <a:pt x="526676" y="235323"/>
              </a:cubicBezTo>
              <a:cubicBezTo>
                <a:pt x="477305" y="151766"/>
                <a:pt x="356720" y="95249"/>
                <a:pt x="268941" y="56029"/>
              </a:cubicBezTo>
              <a:cubicBezTo>
                <a:pt x="181162" y="16809"/>
                <a:pt x="0" y="0"/>
                <a:pt x="0" y="0"/>
              </a:cubicBezTo>
            </a:path>
          </a:pathLst>
        </a:custGeom>
        <a:noFill/>
        <a:ln w="19050">
          <a:solidFill>
            <a:schemeClr val="tx1"/>
          </a:solidFill>
          <a:prstDash val="sysDot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1044530</xdr:colOff>
      <xdr:row>4</xdr:row>
      <xdr:rowOff>833480</xdr:rowOff>
    </xdr:from>
    <xdr:to>
      <xdr:col>3</xdr:col>
      <xdr:colOff>1267558</xdr:colOff>
      <xdr:row>4</xdr:row>
      <xdr:rowOff>1111066</xdr:rowOff>
    </xdr:to>
    <xdr:sp macro="" textlink="">
      <xdr:nvSpPr>
        <xdr:cNvPr id="167" name="Полилиния 166"/>
        <xdr:cNvSpPr/>
      </xdr:nvSpPr>
      <xdr:spPr>
        <a:xfrm>
          <a:off x="2583184" y="1712711"/>
          <a:ext cx="223028" cy="277586"/>
        </a:xfrm>
        <a:custGeom>
          <a:avLst/>
          <a:gdLst>
            <a:gd name="connsiteX0" fmla="*/ 9359 w 357702"/>
            <a:gd name="connsiteY0" fmla="*/ 462643 h 462643"/>
            <a:gd name="connsiteX1" fmla="*/ 20245 w 357702"/>
            <a:gd name="connsiteY1" fmla="*/ 277586 h 462643"/>
            <a:gd name="connsiteX2" fmla="*/ 188974 w 357702"/>
            <a:gd name="connsiteY2" fmla="*/ 59871 h 462643"/>
            <a:gd name="connsiteX3" fmla="*/ 357702 w 357702"/>
            <a:gd name="connsiteY3" fmla="*/ 0 h 462643"/>
            <a:gd name="connsiteX0" fmla="*/ 7359 w 355702"/>
            <a:gd name="connsiteY0" fmla="*/ 462643 h 462643"/>
            <a:gd name="connsiteX1" fmla="*/ 18245 w 355702"/>
            <a:gd name="connsiteY1" fmla="*/ 277586 h 462643"/>
            <a:gd name="connsiteX2" fmla="*/ 186974 w 355702"/>
            <a:gd name="connsiteY2" fmla="*/ 59871 h 462643"/>
            <a:gd name="connsiteX3" fmla="*/ 355702 w 355702"/>
            <a:gd name="connsiteY3" fmla="*/ 0 h 462643"/>
            <a:gd name="connsiteX0" fmla="*/ 9359 w 357702"/>
            <a:gd name="connsiteY0" fmla="*/ 462643 h 462643"/>
            <a:gd name="connsiteX1" fmla="*/ 20245 w 357702"/>
            <a:gd name="connsiteY1" fmla="*/ 277586 h 462643"/>
            <a:gd name="connsiteX2" fmla="*/ 188974 w 357702"/>
            <a:gd name="connsiteY2" fmla="*/ 59871 h 462643"/>
            <a:gd name="connsiteX3" fmla="*/ 357702 w 357702"/>
            <a:gd name="connsiteY3" fmla="*/ 0 h 462643"/>
            <a:gd name="connsiteX0" fmla="*/ 3930 w 352273"/>
            <a:gd name="connsiteY0" fmla="*/ 462643 h 462643"/>
            <a:gd name="connsiteX1" fmla="*/ 14816 w 352273"/>
            <a:gd name="connsiteY1" fmla="*/ 277586 h 462643"/>
            <a:gd name="connsiteX2" fmla="*/ 183545 w 352273"/>
            <a:gd name="connsiteY2" fmla="*/ 59871 h 462643"/>
            <a:gd name="connsiteX3" fmla="*/ 352273 w 352273"/>
            <a:gd name="connsiteY3" fmla="*/ 0 h 462643"/>
            <a:gd name="connsiteX0" fmla="*/ 5538 w 353881"/>
            <a:gd name="connsiteY0" fmla="*/ 462643 h 462643"/>
            <a:gd name="connsiteX1" fmla="*/ 16424 w 353881"/>
            <a:gd name="connsiteY1" fmla="*/ 277586 h 462643"/>
            <a:gd name="connsiteX2" fmla="*/ 185153 w 353881"/>
            <a:gd name="connsiteY2" fmla="*/ 59871 h 462643"/>
            <a:gd name="connsiteX3" fmla="*/ 353881 w 353881"/>
            <a:gd name="connsiteY3" fmla="*/ 0 h 462643"/>
            <a:gd name="connsiteX0" fmla="*/ 0 w 337457"/>
            <a:gd name="connsiteY0" fmla="*/ 277586 h 277586"/>
            <a:gd name="connsiteX1" fmla="*/ 168729 w 337457"/>
            <a:gd name="connsiteY1" fmla="*/ 59871 h 277586"/>
            <a:gd name="connsiteX2" fmla="*/ 337457 w 337457"/>
            <a:gd name="connsiteY2" fmla="*/ 0 h 27758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37457" h="277586">
              <a:moveTo>
                <a:pt x="0" y="277586"/>
              </a:moveTo>
              <a:cubicBezTo>
                <a:pt x="29936" y="210457"/>
                <a:pt x="112486" y="106135"/>
                <a:pt x="168729" y="59871"/>
              </a:cubicBezTo>
              <a:cubicBezTo>
                <a:pt x="224972" y="13607"/>
                <a:pt x="281214" y="6803"/>
                <a:pt x="337457" y="0"/>
              </a:cubicBezTo>
            </a:path>
          </a:pathLst>
        </a:custGeom>
        <a:noFill/>
        <a:ln w="19050">
          <a:solidFill>
            <a:schemeClr val="tx1"/>
          </a:solidFill>
          <a:prstDash val="sysDot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848375</xdr:colOff>
      <xdr:row>4</xdr:row>
      <xdr:rowOff>833480</xdr:rowOff>
    </xdr:from>
    <xdr:to>
      <xdr:col>3</xdr:col>
      <xdr:colOff>1267558</xdr:colOff>
      <xdr:row>4</xdr:row>
      <xdr:rowOff>845324</xdr:rowOff>
    </xdr:to>
    <xdr:cxnSp macro="">
      <xdr:nvCxnSpPr>
        <xdr:cNvPr id="171" name="Прямая соединительная линия 170"/>
        <xdr:cNvCxnSpPr>
          <a:stCxn id="166" idx="2"/>
          <a:endCxn id="167" idx="2"/>
        </xdr:cNvCxnSpPr>
      </xdr:nvCxnSpPr>
      <xdr:spPr>
        <a:xfrm flipV="1">
          <a:off x="2387029" y="1712711"/>
          <a:ext cx="419183" cy="11844"/>
        </a:xfrm>
        <a:prstGeom prst="line">
          <a:avLst/>
        </a:prstGeom>
        <a:ln w="19050">
          <a:solidFill>
            <a:schemeClr val="tx1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593912</xdr:colOff>
      <xdr:row>9</xdr:row>
      <xdr:rowOff>720187</xdr:rowOff>
    </xdr:from>
    <xdr:to>
      <xdr:col>3</xdr:col>
      <xdr:colOff>1035071</xdr:colOff>
      <xdr:row>9</xdr:row>
      <xdr:rowOff>806823</xdr:rowOff>
    </xdr:to>
    <xdr:cxnSp macro="">
      <xdr:nvCxnSpPr>
        <xdr:cNvPr id="186" name="Прямая со стрелкой 185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>
          <a:off x="2140324" y="9236658"/>
          <a:ext cx="441159" cy="86636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829235</xdr:colOff>
      <xdr:row>8</xdr:row>
      <xdr:rowOff>99877</xdr:rowOff>
    </xdr:from>
    <xdr:to>
      <xdr:col>3</xdr:col>
      <xdr:colOff>829235</xdr:colOff>
      <xdr:row>8</xdr:row>
      <xdr:rowOff>1389417</xdr:rowOff>
    </xdr:to>
    <xdr:cxnSp macro="">
      <xdr:nvCxnSpPr>
        <xdr:cNvPr id="193" name="Прямая со стрелкой 192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 flipV="1">
          <a:off x="2375647" y="7092348"/>
          <a:ext cx="0" cy="1289540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798228</xdr:colOff>
      <xdr:row>8</xdr:row>
      <xdr:rowOff>1371721</xdr:rowOff>
    </xdr:from>
    <xdr:to>
      <xdr:col>3</xdr:col>
      <xdr:colOff>870228</xdr:colOff>
      <xdr:row>8</xdr:row>
      <xdr:rowOff>1443721</xdr:rowOff>
    </xdr:to>
    <xdr:sp macro="" textlink="">
      <xdr:nvSpPr>
        <xdr:cNvPr id="194" name="Овал 193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 flipH="1">
          <a:off x="2344640" y="836419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836123</xdr:colOff>
      <xdr:row>8</xdr:row>
      <xdr:rowOff>682584</xdr:rowOff>
    </xdr:from>
    <xdr:to>
      <xdr:col>3</xdr:col>
      <xdr:colOff>1512794</xdr:colOff>
      <xdr:row>8</xdr:row>
      <xdr:rowOff>874058</xdr:rowOff>
    </xdr:to>
    <xdr:cxnSp macro="">
      <xdr:nvCxnSpPr>
        <xdr:cNvPr id="195" name="Прямая со стрелкой 194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382535" y="7675055"/>
          <a:ext cx="676671" cy="191474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152564</xdr:colOff>
      <xdr:row>8</xdr:row>
      <xdr:rowOff>805851</xdr:rowOff>
    </xdr:from>
    <xdr:to>
      <xdr:col>3</xdr:col>
      <xdr:colOff>829235</xdr:colOff>
      <xdr:row>8</xdr:row>
      <xdr:rowOff>806822</xdr:rowOff>
    </xdr:to>
    <xdr:cxnSp macro="">
      <xdr:nvCxnSpPr>
        <xdr:cNvPr id="197" name="Прямая со стрелкой 196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698976" y="7798322"/>
          <a:ext cx="676671" cy="971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762000</xdr:colOff>
      <xdr:row>9</xdr:row>
      <xdr:rowOff>100852</xdr:rowOff>
    </xdr:from>
    <xdr:to>
      <xdr:col>3</xdr:col>
      <xdr:colOff>1019735</xdr:colOff>
      <xdr:row>9</xdr:row>
      <xdr:rowOff>1445558</xdr:rowOff>
    </xdr:to>
    <xdr:sp macro="" textlink="">
      <xdr:nvSpPr>
        <xdr:cNvPr id="205" name="Полилиния 204"/>
        <xdr:cNvSpPr/>
      </xdr:nvSpPr>
      <xdr:spPr>
        <a:xfrm>
          <a:off x="2308412" y="8617323"/>
          <a:ext cx="257735" cy="1344706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727894</xdr:colOff>
      <xdr:row>9</xdr:row>
      <xdr:rowOff>1382928</xdr:rowOff>
    </xdr:from>
    <xdr:to>
      <xdr:col>3</xdr:col>
      <xdr:colOff>799894</xdr:colOff>
      <xdr:row>9</xdr:row>
      <xdr:rowOff>1454928</xdr:rowOff>
    </xdr:to>
    <xdr:sp macro="" textlink="">
      <xdr:nvSpPr>
        <xdr:cNvPr id="206" name="Овал 205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274306" y="9899399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1050472</xdr:colOff>
      <xdr:row>9</xdr:row>
      <xdr:rowOff>809620</xdr:rowOff>
    </xdr:from>
    <xdr:to>
      <xdr:col>3</xdr:col>
      <xdr:colOff>1504950</xdr:colOff>
      <xdr:row>9</xdr:row>
      <xdr:rowOff>898871</xdr:rowOff>
    </xdr:to>
    <xdr:cxnSp macro="">
      <xdr:nvCxnSpPr>
        <xdr:cNvPr id="208" name="Прямая со стрелкой 207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>
          <a:off x="2596243" y="9300477"/>
          <a:ext cx="454478" cy="89251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797507</xdr:colOff>
      <xdr:row>10</xdr:row>
      <xdr:rowOff>1372378</xdr:rowOff>
    </xdr:from>
    <xdr:to>
      <xdr:col>3</xdr:col>
      <xdr:colOff>869507</xdr:colOff>
      <xdr:row>10</xdr:row>
      <xdr:rowOff>1444378</xdr:rowOff>
    </xdr:to>
    <xdr:sp macro="" textlink="">
      <xdr:nvSpPr>
        <xdr:cNvPr id="214" name="Овал 21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343919" y="11412849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173935</xdr:colOff>
      <xdr:row>10</xdr:row>
      <xdr:rowOff>91110</xdr:rowOff>
    </xdr:from>
    <xdr:to>
      <xdr:col>3</xdr:col>
      <xdr:colOff>1445832</xdr:colOff>
      <xdr:row>10</xdr:row>
      <xdr:rowOff>1401411</xdr:rowOff>
    </xdr:to>
    <xdr:cxnSp macro="">
      <xdr:nvCxnSpPr>
        <xdr:cNvPr id="213" name="Прямая со стрелкой 212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 flipV="1">
          <a:off x="1720347" y="10131581"/>
          <a:ext cx="1271897" cy="1310301"/>
        </a:xfrm>
        <a:prstGeom prst="straightConnector1">
          <a:avLst/>
        </a:prstGeom>
        <a:ln w="19050"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836552</xdr:colOff>
      <xdr:row>10</xdr:row>
      <xdr:rowOff>337458</xdr:rowOff>
    </xdr:from>
    <xdr:to>
      <xdr:col>3</xdr:col>
      <xdr:colOff>1466022</xdr:colOff>
      <xdr:row>10</xdr:row>
      <xdr:rowOff>737161</xdr:rowOff>
    </xdr:to>
    <xdr:cxnSp macro="">
      <xdr:nvCxnSpPr>
        <xdr:cNvPr id="215" name="Прямая соединительная линия 214"/>
        <xdr:cNvCxnSpPr/>
      </xdr:nvCxnSpPr>
      <xdr:spPr>
        <a:xfrm flipV="1">
          <a:off x="2382964" y="10377929"/>
          <a:ext cx="629470" cy="399703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836123</xdr:colOff>
      <xdr:row>10</xdr:row>
      <xdr:rowOff>720587</xdr:rowOff>
    </xdr:from>
    <xdr:to>
      <xdr:col>3</xdr:col>
      <xdr:colOff>836123</xdr:colOff>
      <xdr:row>10</xdr:row>
      <xdr:rowOff>1388932</xdr:rowOff>
    </xdr:to>
    <xdr:cxnSp macro="">
      <xdr:nvCxnSpPr>
        <xdr:cNvPr id="219" name="Прямая со стрелкой 218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382535" y="10761058"/>
          <a:ext cx="0" cy="668345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802993</xdr:colOff>
      <xdr:row>11</xdr:row>
      <xdr:rowOff>104054</xdr:rowOff>
    </xdr:from>
    <xdr:to>
      <xdr:col>3</xdr:col>
      <xdr:colOff>802993</xdr:colOff>
      <xdr:row>11</xdr:row>
      <xdr:rowOff>1393594</xdr:rowOff>
    </xdr:to>
    <xdr:cxnSp macro="">
      <xdr:nvCxnSpPr>
        <xdr:cNvPr id="272" name="Прямая со стрелкой 271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349405" y="11668525"/>
          <a:ext cx="0" cy="1289540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762000</xdr:colOff>
      <xdr:row>11</xdr:row>
      <xdr:rowOff>1375898</xdr:rowOff>
    </xdr:from>
    <xdr:to>
      <xdr:col>3</xdr:col>
      <xdr:colOff>834000</xdr:colOff>
      <xdr:row>11</xdr:row>
      <xdr:rowOff>1447898</xdr:rowOff>
    </xdr:to>
    <xdr:sp macro="" textlink="">
      <xdr:nvSpPr>
        <xdr:cNvPr id="273" name="Овал 272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308412" y="12940369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965471</xdr:colOff>
      <xdr:row>11</xdr:row>
      <xdr:rowOff>754003</xdr:rowOff>
    </xdr:from>
    <xdr:to>
      <xdr:col>3</xdr:col>
      <xdr:colOff>1037471</xdr:colOff>
      <xdr:row>11</xdr:row>
      <xdr:rowOff>826003</xdr:rowOff>
    </xdr:to>
    <xdr:sp macro="" textlink="">
      <xdr:nvSpPr>
        <xdr:cNvPr id="274" name="5-конечная звезда 273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511883" y="12318474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782509</xdr:colOff>
      <xdr:row>23</xdr:row>
      <xdr:rowOff>75457</xdr:rowOff>
    </xdr:from>
    <xdr:to>
      <xdr:col>3</xdr:col>
      <xdr:colOff>782509</xdr:colOff>
      <xdr:row>23</xdr:row>
      <xdr:rowOff>1401389</xdr:rowOff>
    </xdr:to>
    <xdr:cxnSp macro="">
      <xdr:nvCxnSpPr>
        <xdr:cNvPr id="275" name="Прямая со стрелкой 274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>
          <a:off x="2333723" y="28378314"/>
          <a:ext cx="0" cy="1325932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740276</xdr:colOff>
      <xdr:row>23</xdr:row>
      <xdr:rowOff>1371626</xdr:rowOff>
    </xdr:from>
    <xdr:to>
      <xdr:col>3</xdr:col>
      <xdr:colOff>812276</xdr:colOff>
      <xdr:row>23</xdr:row>
      <xdr:rowOff>1443626</xdr:rowOff>
    </xdr:to>
    <xdr:sp macro="" textlink="">
      <xdr:nvSpPr>
        <xdr:cNvPr id="276" name="Овал 27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291490" y="29674483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785900</xdr:colOff>
      <xdr:row>23</xdr:row>
      <xdr:rowOff>36732</xdr:rowOff>
    </xdr:from>
    <xdr:to>
      <xdr:col>3</xdr:col>
      <xdr:colOff>1009710</xdr:colOff>
      <xdr:row>23</xdr:row>
      <xdr:rowOff>905686</xdr:rowOff>
    </xdr:to>
    <xdr:cxnSp macro="">
      <xdr:nvCxnSpPr>
        <xdr:cNvPr id="277" name="Прямая со стрелкой 276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 flipV="1">
          <a:off x="2337114" y="28339589"/>
          <a:ext cx="223810" cy="868954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571500</xdr:colOff>
      <xdr:row>23</xdr:row>
      <xdr:rowOff>89284</xdr:rowOff>
    </xdr:from>
    <xdr:to>
      <xdr:col>3</xdr:col>
      <xdr:colOff>783462</xdr:colOff>
      <xdr:row>23</xdr:row>
      <xdr:rowOff>912221</xdr:rowOff>
    </xdr:to>
    <xdr:cxnSp macro="">
      <xdr:nvCxnSpPr>
        <xdr:cNvPr id="278" name="Прямая со стрелкой 277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 flipH="1" flipV="1">
          <a:off x="2122714" y="28392141"/>
          <a:ext cx="211962" cy="822937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807447</xdr:colOff>
      <xdr:row>26</xdr:row>
      <xdr:rowOff>68036</xdr:rowOff>
    </xdr:from>
    <xdr:to>
      <xdr:col>3</xdr:col>
      <xdr:colOff>807447</xdr:colOff>
      <xdr:row>26</xdr:row>
      <xdr:rowOff>1357576</xdr:rowOff>
    </xdr:to>
    <xdr:cxnSp macro="">
      <xdr:nvCxnSpPr>
        <xdr:cNvPr id="279" name="Прямая со стрелкой 278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358661" y="31418893"/>
          <a:ext cx="0" cy="1289540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766454</xdr:colOff>
      <xdr:row>26</xdr:row>
      <xdr:rowOff>1339880</xdr:rowOff>
    </xdr:from>
    <xdr:to>
      <xdr:col>3</xdr:col>
      <xdr:colOff>838454</xdr:colOff>
      <xdr:row>26</xdr:row>
      <xdr:rowOff>1411880</xdr:rowOff>
    </xdr:to>
    <xdr:sp macro="" textlink="">
      <xdr:nvSpPr>
        <xdr:cNvPr id="280" name="Овал 279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317668" y="32690737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1177659</xdr:colOff>
      <xdr:row>26</xdr:row>
      <xdr:rowOff>866942</xdr:rowOff>
    </xdr:from>
    <xdr:to>
      <xdr:col>3</xdr:col>
      <xdr:colOff>1177659</xdr:colOff>
      <xdr:row>26</xdr:row>
      <xdr:rowOff>866942</xdr:rowOff>
    </xdr:to>
    <xdr:cxnSp macro="">
      <xdr:nvCxnSpPr>
        <xdr:cNvPr id="283" name="Прямая соединительная линия 282"/>
        <xdr:cNvCxnSpPr/>
      </xdr:nvCxnSpPr>
      <xdr:spPr>
        <a:xfrm>
          <a:off x="2724071" y="35291413"/>
          <a:ext cx="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968507</xdr:colOff>
      <xdr:row>26</xdr:row>
      <xdr:rowOff>68978</xdr:rowOff>
    </xdr:from>
    <xdr:ext cx="609653" cy="609653"/>
    <xdr:pic>
      <xdr:nvPicPr>
        <xdr:cNvPr id="292" name="Рисунок 291">
          <a:extLst>
            <a:ext uri="{FF2B5EF4-FFF2-40B4-BE49-F238E27FC236}">
              <a16:creationId xmlns:a16="http://schemas.microsoft.com/office/drawing/2014/main" xmlns="" id="{00000000-0008-0000-09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8150" y="34467835"/>
          <a:ext cx="609653" cy="609653"/>
        </a:xfrm>
        <a:prstGeom prst="rect">
          <a:avLst/>
        </a:prstGeom>
        <a:ln w="19050">
          <a:noFill/>
        </a:ln>
      </xdr:spPr>
    </xdr:pic>
    <xdr:clientData/>
  </xdr:oneCellAnchor>
  <xdr:twoCellAnchor>
    <xdr:from>
      <xdr:col>3</xdr:col>
      <xdr:colOff>782509</xdr:colOff>
      <xdr:row>24</xdr:row>
      <xdr:rowOff>83740</xdr:rowOff>
    </xdr:from>
    <xdr:to>
      <xdr:col>3</xdr:col>
      <xdr:colOff>782509</xdr:colOff>
      <xdr:row>24</xdr:row>
      <xdr:rowOff>1409672</xdr:rowOff>
    </xdr:to>
    <xdr:cxnSp macro="">
      <xdr:nvCxnSpPr>
        <xdr:cNvPr id="294" name="Прямая со стрелкой 293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>
          <a:off x="2323074" y="29901131"/>
          <a:ext cx="0" cy="1325932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740276</xdr:colOff>
      <xdr:row>24</xdr:row>
      <xdr:rowOff>1379909</xdr:rowOff>
    </xdr:from>
    <xdr:to>
      <xdr:col>3</xdr:col>
      <xdr:colOff>812276</xdr:colOff>
      <xdr:row>24</xdr:row>
      <xdr:rowOff>1451909</xdr:rowOff>
    </xdr:to>
    <xdr:sp macro="" textlink="">
      <xdr:nvSpPr>
        <xdr:cNvPr id="295" name="Овал 29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280841" y="31197300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786848</xdr:colOff>
      <xdr:row>24</xdr:row>
      <xdr:rowOff>115957</xdr:rowOff>
    </xdr:from>
    <xdr:to>
      <xdr:col>3</xdr:col>
      <xdr:colOff>1250674</xdr:colOff>
      <xdr:row>24</xdr:row>
      <xdr:rowOff>1060174</xdr:rowOff>
    </xdr:to>
    <xdr:sp macro="" textlink="">
      <xdr:nvSpPr>
        <xdr:cNvPr id="296" name="Полилиния 295"/>
        <xdr:cNvSpPr/>
      </xdr:nvSpPr>
      <xdr:spPr>
        <a:xfrm>
          <a:off x="2327413" y="29933348"/>
          <a:ext cx="463826" cy="944217"/>
        </a:xfrm>
        <a:custGeom>
          <a:avLst/>
          <a:gdLst>
            <a:gd name="connsiteX0" fmla="*/ 0 w 463826"/>
            <a:gd name="connsiteY0" fmla="*/ 944217 h 944217"/>
            <a:gd name="connsiteX1" fmla="*/ 149087 w 463826"/>
            <a:gd name="connsiteY1" fmla="*/ 496956 h 944217"/>
            <a:gd name="connsiteX2" fmla="*/ 463826 w 463826"/>
            <a:gd name="connsiteY2" fmla="*/ 0 h 9442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63826" h="944217">
              <a:moveTo>
                <a:pt x="0" y="944217"/>
              </a:moveTo>
              <a:cubicBezTo>
                <a:pt x="35891" y="799271"/>
                <a:pt x="71783" y="654325"/>
                <a:pt x="149087" y="496956"/>
              </a:cubicBezTo>
              <a:cubicBezTo>
                <a:pt x="226391" y="339587"/>
                <a:pt x="345108" y="169793"/>
                <a:pt x="463826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802993</xdr:colOff>
      <xdr:row>22</xdr:row>
      <xdr:rowOff>81642</xdr:rowOff>
    </xdr:from>
    <xdr:to>
      <xdr:col>3</xdr:col>
      <xdr:colOff>802993</xdr:colOff>
      <xdr:row>22</xdr:row>
      <xdr:rowOff>1371182</xdr:rowOff>
    </xdr:to>
    <xdr:cxnSp macro="">
      <xdr:nvCxnSpPr>
        <xdr:cNvPr id="79" name="Прямая со стрелкой 78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349405" y="16218113"/>
          <a:ext cx="0" cy="1289540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762000</xdr:colOff>
      <xdr:row>22</xdr:row>
      <xdr:rowOff>1353486</xdr:rowOff>
    </xdr:from>
    <xdr:to>
      <xdr:col>3</xdr:col>
      <xdr:colOff>834000</xdr:colOff>
      <xdr:row>22</xdr:row>
      <xdr:rowOff>1425486</xdr:rowOff>
    </xdr:to>
    <xdr:sp macro="" textlink="">
      <xdr:nvSpPr>
        <xdr:cNvPr id="80" name="Овал 79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308412" y="17489957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157843</xdr:colOff>
      <xdr:row>8</xdr:row>
      <xdr:rowOff>123583</xdr:rowOff>
    </xdr:from>
    <xdr:to>
      <xdr:col>5</xdr:col>
      <xdr:colOff>966109</xdr:colOff>
      <xdr:row>8</xdr:row>
      <xdr:rowOff>1387928</xdr:rowOff>
    </xdr:to>
    <xdr:sp macro="" textlink="">
      <xdr:nvSpPr>
        <xdr:cNvPr id="82" name="TextBox 81"/>
        <xdr:cNvSpPr txBox="1"/>
      </xdr:nvSpPr>
      <xdr:spPr>
        <a:xfrm>
          <a:off x="3287486" y="7090440"/>
          <a:ext cx="2196194" cy="1264345"/>
        </a:xfrm>
        <a:prstGeom prst="rect">
          <a:avLst/>
        </a:prstGeom>
        <a:solidFill>
          <a:srgbClr val="FFFF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400"/>
            <a:t>Далее - без ВКВ, раннее прибытие на КВ-4 не пенализируется в пределах льготы"</a:t>
          </a:r>
        </a:p>
      </xdr:txBody>
    </xdr:sp>
    <xdr:clientData/>
  </xdr:twoCellAnchor>
  <xdr:twoCellAnchor>
    <xdr:from>
      <xdr:col>3</xdr:col>
      <xdr:colOff>807447</xdr:colOff>
      <xdr:row>25</xdr:row>
      <xdr:rowOff>90447</xdr:rowOff>
    </xdr:from>
    <xdr:to>
      <xdr:col>3</xdr:col>
      <xdr:colOff>807447</xdr:colOff>
      <xdr:row>25</xdr:row>
      <xdr:rowOff>1379987</xdr:rowOff>
    </xdr:to>
    <xdr:cxnSp macro="">
      <xdr:nvCxnSpPr>
        <xdr:cNvPr id="83" name="Прямая со стрелкой 82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353859" y="32990918"/>
          <a:ext cx="0" cy="1289540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766454</xdr:colOff>
      <xdr:row>25</xdr:row>
      <xdr:rowOff>1362291</xdr:rowOff>
    </xdr:from>
    <xdr:to>
      <xdr:col>3</xdr:col>
      <xdr:colOff>838454</xdr:colOff>
      <xdr:row>25</xdr:row>
      <xdr:rowOff>1434291</xdr:rowOff>
    </xdr:to>
    <xdr:sp macro="" textlink="">
      <xdr:nvSpPr>
        <xdr:cNvPr id="84" name="Овал 83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312866" y="3426276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1188865</xdr:colOff>
      <xdr:row>25</xdr:row>
      <xdr:rowOff>889353</xdr:rowOff>
    </xdr:from>
    <xdr:to>
      <xdr:col>3</xdr:col>
      <xdr:colOff>1188865</xdr:colOff>
      <xdr:row>25</xdr:row>
      <xdr:rowOff>889353</xdr:rowOff>
    </xdr:to>
    <xdr:cxnSp macro="">
      <xdr:nvCxnSpPr>
        <xdr:cNvPr id="86" name="Прямая соединительная линия 85"/>
        <xdr:cNvCxnSpPr/>
      </xdr:nvCxnSpPr>
      <xdr:spPr>
        <a:xfrm>
          <a:off x="2735277" y="33789824"/>
          <a:ext cx="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807865</xdr:colOff>
      <xdr:row>25</xdr:row>
      <xdr:rowOff>786775</xdr:rowOff>
    </xdr:from>
    <xdr:to>
      <xdr:col>3</xdr:col>
      <xdr:colOff>1502019</xdr:colOff>
      <xdr:row>25</xdr:row>
      <xdr:rowOff>786775</xdr:rowOff>
    </xdr:to>
    <xdr:cxnSp macro="">
      <xdr:nvCxnSpPr>
        <xdr:cNvPr id="87" name="Прямая соединительная линия 86"/>
        <xdr:cNvCxnSpPr/>
      </xdr:nvCxnSpPr>
      <xdr:spPr>
        <a:xfrm>
          <a:off x="2354277" y="33687246"/>
          <a:ext cx="694154" cy="0"/>
        </a:xfrm>
        <a:prstGeom prst="line">
          <a:avLst/>
        </a:prstGeom>
        <a:ln w="19050">
          <a:solidFill>
            <a:schemeClr val="tx1"/>
          </a:solidFill>
          <a:prstDash val="sysDot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1103437</xdr:colOff>
      <xdr:row>25</xdr:row>
      <xdr:rowOff>598090</xdr:rowOff>
    </xdr:from>
    <xdr:to>
      <xdr:col>3</xdr:col>
      <xdr:colOff>1154816</xdr:colOff>
      <xdr:row>25</xdr:row>
      <xdr:rowOff>978569</xdr:rowOff>
    </xdr:to>
    <xdr:grpSp>
      <xdr:nvGrpSpPr>
        <xdr:cNvPr id="88" name="Группа 87">
          <a:extLst>
            <a:ext uri="{FF2B5EF4-FFF2-40B4-BE49-F238E27FC236}">
              <a16:creationId xmlns:a16="http://schemas.microsoft.com/office/drawing/2014/main" xmlns="" id="{00000000-0008-0000-0600-000058000000}"/>
            </a:ext>
          </a:extLst>
        </xdr:cNvPr>
        <xdr:cNvGrpSpPr/>
      </xdr:nvGrpSpPr>
      <xdr:grpSpPr>
        <a:xfrm rot="-5400000">
          <a:off x="2481937" y="33642940"/>
          <a:ext cx="380479" cy="51379"/>
          <a:chOff x="744834" y="5046016"/>
          <a:chExt cx="380479" cy="51379"/>
        </a:xfrm>
      </xdr:grpSpPr>
      <xdr:cxnSp macro="">
        <xdr:nvCxnSpPr>
          <xdr:cNvPr id="89" name="Прямая со стрелкой 88">
            <a:extLst>
              <a:ext uri="{FF2B5EF4-FFF2-40B4-BE49-F238E27FC236}">
                <a16:creationId xmlns:a16="http://schemas.microsoft.com/office/drawing/2014/main" xmlns="" id="{00000000-0008-0000-0600-00003E000000}"/>
              </a:ext>
            </a:extLst>
          </xdr:cNvPr>
          <xdr:cNvCxnSpPr/>
        </xdr:nvCxnSpPr>
        <xdr:spPr>
          <a:xfrm flipH="1">
            <a:off x="797770" y="5076837"/>
            <a:ext cx="116554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90" name="Овал 89">
            <a:extLst>
              <a:ext uri="{FF2B5EF4-FFF2-40B4-BE49-F238E27FC236}">
                <a16:creationId xmlns:a16="http://schemas.microsoft.com/office/drawing/2014/main" xmlns="" id="{00000000-0008-0000-0600-00003F000000}"/>
              </a:ext>
            </a:extLst>
          </xdr:cNvPr>
          <xdr:cNvSpPr/>
        </xdr:nvSpPr>
        <xdr:spPr>
          <a:xfrm>
            <a:off x="744834" y="5046016"/>
            <a:ext cx="46800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">
        <xdr:nvSpPr>
          <xdr:cNvPr id="91" name="Овал 90">
            <a:extLst>
              <a:ext uri="{FF2B5EF4-FFF2-40B4-BE49-F238E27FC236}">
                <a16:creationId xmlns:a16="http://schemas.microsoft.com/office/drawing/2014/main" xmlns="" id="{00000000-0008-0000-0600-000040000000}"/>
              </a:ext>
            </a:extLst>
          </xdr:cNvPr>
          <xdr:cNvSpPr/>
        </xdr:nvSpPr>
        <xdr:spPr>
          <a:xfrm>
            <a:off x="1078513" y="5046016"/>
            <a:ext cx="46800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92" name="Прямая со стрелкой 91">
            <a:extLst>
              <a:ext uri="{FF2B5EF4-FFF2-40B4-BE49-F238E27FC236}">
                <a16:creationId xmlns:a16="http://schemas.microsoft.com/office/drawing/2014/main" xmlns="" id="{00000000-0008-0000-0600-000041000000}"/>
              </a:ext>
            </a:extLst>
          </xdr:cNvPr>
          <xdr:cNvCxnSpPr/>
        </xdr:nvCxnSpPr>
        <xdr:spPr>
          <a:xfrm flipH="1">
            <a:off x="954671" y="5076837"/>
            <a:ext cx="119572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972344</xdr:colOff>
      <xdr:row>26</xdr:row>
      <xdr:rowOff>705978</xdr:rowOff>
    </xdr:from>
    <xdr:to>
      <xdr:col>3</xdr:col>
      <xdr:colOff>1044344</xdr:colOff>
      <xdr:row>26</xdr:row>
      <xdr:rowOff>777978</xdr:rowOff>
    </xdr:to>
    <xdr:sp macro="" textlink="">
      <xdr:nvSpPr>
        <xdr:cNvPr id="94" name="5-конечная звезда 93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518756" y="35130449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537900</xdr:colOff>
      <xdr:row>26</xdr:row>
      <xdr:rowOff>713305</xdr:rowOff>
    </xdr:from>
    <xdr:to>
      <xdr:col>3</xdr:col>
      <xdr:colOff>609900</xdr:colOff>
      <xdr:row>26</xdr:row>
      <xdr:rowOff>785305</xdr:rowOff>
    </xdr:to>
    <xdr:sp macro="" textlink="">
      <xdr:nvSpPr>
        <xdr:cNvPr id="95" name="5-конечная звезда 94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2084312" y="35137776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836123</xdr:colOff>
      <xdr:row>5</xdr:row>
      <xdr:rowOff>88673</xdr:rowOff>
    </xdr:from>
    <xdr:to>
      <xdr:col>3</xdr:col>
      <xdr:colOff>836123</xdr:colOff>
      <xdr:row>5</xdr:row>
      <xdr:rowOff>1378213</xdr:rowOff>
    </xdr:to>
    <xdr:cxnSp macro="">
      <xdr:nvCxnSpPr>
        <xdr:cNvPr id="61" name="Прямая со стрелкой 60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382535" y="2509144"/>
          <a:ext cx="0" cy="1289540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795130</xdr:colOff>
      <xdr:row>5</xdr:row>
      <xdr:rowOff>1360517</xdr:rowOff>
    </xdr:from>
    <xdr:to>
      <xdr:col>3</xdr:col>
      <xdr:colOff>867130</xdr:colOff>
      <xdr:row>5</xdr:row>
      <xdr:rowOff>1432517</xdr:rowOff>
    </xdr:to>
    <xdr:sp macro="" textlink="">
      <xdr:nvSpPr>
        <xdr:cNvPr id="62" name="Овал 61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341542" y="3780988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998601</xdr:colOff>
      <xdr:row>5</xdr:row>
      <xdr:rowOff>738622</xdr:rowOff>
    </xdr:from>
    <xdr:to>
      <xdr:col>3</xdr:col>
      <xdr:colOff>1070601</xdr:colOff>
      <xdr:row>5</xdr:row>
      <xdr:rowOff>810622</xdr:rowOff>
    </xdr:to>
    <xdr:sp macro="" textlink="">
      <xdr:nvSpPr>
        <xdr:cNvPr id="63" name="5-конечная звезда 62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545013" y="3159093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836123</xdr:colOff>
      <xdr:row>6</xdr:row>
      <xdr:rowOff>77467</xdr:rowOff>
    </xdr:from>
    <xdr:to>
      <xdr:col>3</xdr:col>
      <xdr:colOff>836123</xdr:colOff>
      <xdr:row>6</xdr:row>
      <xdr:rowOff>1367007</xdr:rowOff>
    </xdr:to>
    <xdr:cxnSp macro="">
      <xdr:nvCxnSpPr>
        <xdr:cNvPr id="64" name="Прямая со стрелкой 63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382535" y="4021938"/>
          <a:ext cx="0" cy="1289540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795130</xdr:colOff>
      <xdr:row>6</xdr:row>
      <xdr:rowOff>1349311</xdr:rowOff>
    </xdr:from>
    <xdr:to>
      <xdr:col>3</xdr:col>
      <xdr:colOff>867130</xdr:colOff>
      <xdr:row>6</xdr:row>
      <xdr:rowOff>1421311</xdr:rowOff>
    </xdr:to>
    <xdr:sp macro="" textlink="">
      <xdr:nvSpPr>
        <xdr:cNvPr id="65" name="Овал 64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341542" y="529378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998601</xdr:colOff>
      <xdr:row>6</xdr:row>
      <xdr:rowOff>727416</xdr:rowOff>
    </xdr:from>
    <xdr:to>
      <xdr:col>3</xdr:col>
      <xdr:colOff>1070601</xdr:colOff>
      <xdr:row>6</xdr:row>
      <xdr:rowOff>799416</xdr:rowOff>
    </xdr:to>
    <xdr:sp macro="" textlink="">
      <xdr:nvSpPr>
        <xdr:cNvPr id="66" name="5-конечная звезда 65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545013" y="4671887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836123</xdr:colOff>
      <xdr:row>7</xdr:row>
      <xdr:rowOff>77467</xdr:rowOff>
    </xdr:from>
    <xdr:to>
      <xdr:col>3</xdr:col>
      <xdr:colOff>836123</xdr:colOff>
      <xdr:row>7</xdr:row>
      <xdr:rowOff>1367007</xdr:rowOff>
    </xdr:to>
    <xdr:cxnSp macro="">
      <xdr:nvCxnSpPr>
        <xdr:cNvPr id="67" name="Прямая со стрелкой 66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382535" y="5545938"/>
          <a:ext cx="0" cy="1289540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795130</xdr:colOff>
      <xdr:row>7</xdr:row>
      <xdr:rowOff>1349311</xdr:rowOff>
    </xdr:from>
    <xdr:to>
      <xdr:col>3</xdr:col>
      <xdr:colOff>867130</xdr:colOff>
      <xdr:row>7</xdr:row>
      <xdr:rowOff>1421311</xdr:rowOff>
    </xdr:to>
    <xdr:sp macro="" textlink="">
      <xdr:nvSpPr>
        <xdr:cNvPr id="68" name="Овал 67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341542" y="681778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998601</xdr:colOff>
      <xdr:row>7</xdr:row>
      <xdr:rowOff>727416</xdr:rowOff>
    </xdr:from>
    <xdr:to>
      <xdr:col>3</xdr:col>
      <xdr:colOff>1070601</xdr:colOff>
      <xdr:row>7</xdr:row>
      <xdr:rowOff>799416</xdr:rowOff>
    </xdr:to>
    <xdr:sp macro="" textlink="">
      <xdr:nvSpPr>
        <xdr:cNvPr id="69" name="5-конечная звезда 68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545013" y="6195887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481853</xdr:colOff>
      <xdr:row>5</xdr:row>
      <xdr:rowOff>549089</xdr:rowOff>
    </xdr:from>
    <xdr:to>
      <xdr:col>5</xdr:col>
      <xdr:colOff>596232</xdr:colOff>
      <xdr:row>5</xdr:row>
      <xdr:rowOff>939614</xdr:rowOff>
    </xdr:to>
    <xdr:sp macro="" textlink="">
      <xdr:nvSpPr>
        <xdr:cNvPr id="70" name="Прямоугольник 69"/>
        <xdr:cNvSpPr/>
      </xdr:nvSpPr>
      <xdr:spPr>
        <a:xfrm>
          <a:off x="3608294" y="2969560"/>
          <a:ext cx="1492703" cy="390525"/>
        </a:xfrm>
        <a:prstGeom prst="rect">
          <a:avLst/>
        </a:prstGeom>
        <a:solidFill>
          <a:schemeClr val="bg1"/>
        </a:solidFill>
        <a:ln w="19050">
          <a:solidFill>
            <a:schemeClr val="dk1">
              <a:shade val="95000"/>
              <a:satMod val="105000"/>
            </a:schemeClr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 b="1">
              <a:solidFill>
                <a:sysClr val="windowText" lastClr="000000"/>
              </a:solidFill>
            </a:rPr>
            <a:t>?</a:t>
          </a:r>
        </a:p>
      </xdr:txBody>
    </xdr:sp>
    <xdr:clientData/>
  </xdr:twoCellAnchor>
  <xdr:twoCellAnchor>
    <xdr:from>
      <xdr:col>4</xdr:col>
      <xdr:colOff>481853</xdr:colOff>
      <xdr:row>6</xdr:row>
      <xdr:rowOff>549090</xdr:rowOff>
    </xdr:from>
    <xdr:to>
      <xdr:col>5</xdr:col>
      <xdr:colOff>596232</xdr:colOff>
      <xdr:row>6</xdr:row>
      <xdr:rowOff>939615</xdr:rowOff>
    </xdr:to>
    <xdr:sp macro="" textlink="">
      <xdr:nvSpPr>
        <xdr:cNvPr id="71" name="Прямоугольник 70"/>
        <xdr:cNvSpPr/>
      </xdr:nvSpPr>
      <xdr:spPr>
        <a:xfrm>
          <a:off x="3608294" y="4493561"/>
          <a:ext cx="1492703" cy="390525"/>
        </a:xfrm>
        <a:prstGeom prst="rect">
          <a:avLst/>
        </a:prstGeom>
        <a:solidFill>
          <a:schemeClr val="bg1"/>
        </a:solidFill>
        <a:ln w="19050">
          <a:solidFill>
            <a:schemeClr val="dk1">
              <a:shade val="95000"/>
              <a:satMod val="105000"/>
            </a:schemeClr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 b="1">
              <a:solidFill>
                <a:sysClr val="windowText" lastClr="000000"/>
              </a:solidFill>
            </a:rPr>
            <a:t>?</a:t>
          </a:r>
        </a:p>
      </xdr:txBody>
    </xdr:sp>
    <xdr:clientData/>
  </xdr:twoCellAnchor>
  <xdr:twoCellAnchor>
    <xdr:from>
      <xdr:col>4</xdr:col>
      <xdr:colOff>481853</xdr:colOff>
      <xdr:row>7</xdr:row>
      <xdr:rowOff>571502</xdr:rowOff>
    </xdr:from>
    <xdr:to>
      <xdr:col>5</xdr:col>
      <xdr:colOff>596232</xdr:colOff>
      <xdr:row>7</xdr:row>
      <xdr:rowOff>962027</xdr:rowOff>
    </xdr:to>
    <xdr:sp macro="" textlink="">
      <xdr:nvSpPr>
        <xdr:cNvPr id="72" name="Прямоугольник 71"/>
        <xdr:cNvSpPr/>
      </xdr:nvSpPr>
      <xdr:spPr>
        <a:xfrm>
          <a:off x="3608294" y="6039973"/>
          <a:ext cx="1492703" cy="390525"/>
        </a:xfrm>
        <a:prstGeom prst="rect">
          <a:avLst/>
        </a:prstGeom>
        <a:solidFill>
          <a:schemeClr val="bg1"/>
        </a:solidFill>
        <a:ln w="19050">
          <a:solidFill>
            <a:schemeClr val="dk1">
              <a:shade val="95000"/>
              <a:satMod val="105000"/>
            </a:schemeClr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 b="1">
              <a:solidFill>
                <a:sysClr val="windowText" lastClr="000000"/>
              </a:solidFill>
            </a:rPr>
            <a:t>?</a:t>
          </a:r>
        </a:p>
      </xdr:txBody>
    </xdr:sp>
    <xdr:clientData/>
  </xdr:twoCellAnchor>
  <xdr:twoCellAnchor>
    <xdr:from>
      <xdr:col>3</xdr:col>
      <xdr:colOff>202009</xdr:colOff>
      <xdr:row>9</xdr:row>
      <xdr:rowOff>643086</xdr:rowOff>
    </xdr:from>
    <xdr:to>
      <xdr:col>3</xdr:col>
      <xdr:colOff>591511</xdr:colOff>
      <xdr:row>9</xdr:row>
      <xdr:rowOff>719577</xdr:rowOff>
    </xdr:to>
    <xdr:cxnSp macro="">
      <xdr:nvCxnSpPr>
        <xdr:cNvPr id="74" name="Прямая со стрелкой 73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>
          <a:off x="1748421" y="9159557"/>
          <a:ext cx="389502" cy="76491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891383</xdr:colOff>
      <xdr:row>11</xdr:row>
      <xdr:rowOff>207821</xdr:rowOff>
    </xdr:from>
    <xdr:to>
      <xdr:col>5</xdr:col>
      <xdr:colOff>217777</xdr:colOff>
      <xdr:row>11</xdr:row>
      <xdr:rowOff>927821</xdr:rowOff>
    </xdr:to>
    <xdr:pic>
      <xdr:nvPicPr>
        <xdr:cNvPr id="76" name="Рисунок 7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974" y="11776366"/>
          <a:ext cx="711848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336176</xdr:colOff>
      <xdr:row>22</xdr:row>
      <xdr:rowOff>775569</xdr:rowOff>
    </xdr:from>
    <xdr:to>
      <xdr:col>3</xdr:col>
      <xdr:colOff>796049</xdr:colOff>
      <xdr:row>22</xdr:row>
      <xdr:rowOff>775569</xdr:rowOff>
    </xdr:to>
    <xdr:cxnSp macro="">
      <xdr:nvCxnSpPr>
        <xdr:cNvPr id="77" name="Прямая соединительная линия 76"/>
        <xdr:cNvCxnSpPr/>
      </xdr:nvCxnSpPr>
      <xdr:spPr>
        <a:xfrm flipH="1">
          <a:off x="1882588" y="29104040"/>
          <a:ext cx="459873" cy="0"/>
        </a:xfrm>
        <a:prstGeom prst="line">
          <a:avLst/>
        </a:prstGeom>
        <a:ln w="19050">
          <a:solidFill>
            <a:schemeClr val="tx1"/>
          </a:solidFill>
          <a:prstDash val="sysDot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828675</xdr:colOff>
      <xdr:row>10</xdr:row>
      <xdr:rowOff>114300</xdr:rowOff>
    </xdr:from>
    <xdr:to>
      <xdr:col>3</xdr:col>
      <xdr:colOff>1171575</xdr:colOff>
      <xdr:row>10</xdr:row>
      <xdr:rowOff>723901</xdr:rowOff>
    </xdr:to>
    <xdr:cxnSp macro="">
      <xdr:nvCxnSpPr>
        <xdr:cNvPr id="85" name="Прямая соединительная линия 84"/>
        <xdr:cNvCxnSpPr/>
      </xdr:nvCxnSpPr>
      <xdr:spPr>
        <a:xfrm flipV="1">
          <a:off x="2371725" y="10134600"/>
          <a:ext cx="342900" cy="609601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133350</xdr:colOff>
      <xdr:row>26</xdr:row>
      <xdr:rowOff>733425</xdr:rowOff>
    </xdr:from>
    <xdr:to>
      <xdr:col>5</xdr:col>
      <xdr:colOff>941616</xdr:colOff>
      <xdr:row>26</xdr:row>
      <xdr:rowOff>1291317</xdr:rowOff>
    </xdr:to>
    <xdr:sp macro="" textlink="">
      <xdr:nvSpPr>
        <xdr:cNvPr id="75" name="TextBox 74"/>
        <xdr:cNvSpPr txBox="1"/>
      </xdr:nvSpPr>
      <xdr:spPr>
        <a:xfrm>
          <a:off x="3257550" y="35137725"/>
          <a:ext cx="2189391" cy="557892"/>
        </a:xfrm>
        <a:prstGeom prst="rect">
          <a:avLst/>
        </a:prstGeom>
        <a:solidFill>
          <a:srgbClr val="FFFF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400"/>
            <a:t>Судейский пункт находится в здании </a:t>
          </a:r>
          <a:r>
            <a:rPr lang="en-US" sz="1400"/>
            <a:t>Skoda</a:t>
          </a:r>
          <a:endParaRPr lang="ru-RU" sz="14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13</xdr:row>
      <xdr:rowOff>128155</xdr:rowOff>
    </xdr:from>
    <xdr:to>
      <xdr:col>9</xdr:col>
      <xdr:colOff>282891</xdr:colOff>
      <xdr:row>26</xdr:row>
      <xdr:rowOff>175780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2916382"/>
          <a:ext cx="5433318" cy="2524125"/>
        </a:xfrm>
        <a:prstGeom prst="rect">
          <a:avLst/>
        </a:prstGeom>
      </xdr:spPr>
    </xdr:pic>
    <xdr:clientData/>
  </xdr:twoCellAnchor>
  <xdr:twoCellAnchor editAs="oneCell">
    <xdr:from>
      <xdr:col>0</xdr:col>
      <xdr:colOff>281609</xdr:colOff>
      <xdr:row>33</xdr:row>
      <xdr:rowOff>182219</xdr:rowOff>
    </xdr:from>
    <xdr:to>
      <xdr:col>9</xdr:col>
      <xdr:colOff>113746</xdr:colOff>
      <xdr:row>48</xdr:row>
      <xdr:rowOff>99392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609" y="6791741"/>
          <a:ext cx="5348354" cy="277467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416483</xdr:colOff>
      <xdr:row>13</xdr:row>
      <xdr:rowOff>24023</xdr:rowOff>
    </xdr:from>
    <xdr:to>
      <xdr:col>1</xdr:col>
      <xdr:colOff>238648</xdr:colOff>
      <xdr:row>13</xdr:row>
      <xdr:rowOff>358889</xdr:rowOff>
    </xdr:to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SpPr/>
      </xdr:nvSpPr>
      <xdr:spPr>
        <a:xfrm>
          <a:off x="416483" y="3719723"/>
          <a:ext cx="431765" cy="334866"/>
        </a:xfrm>
        <a:prstGeom prst="rect">
          <a:avLst/>
        </a:prstGeom>
        <a:solidFill>
          <a:schemeClr val="bg1">
            <a:lumMod val="85000"/>
          </a:schemeClr>
        </a:solidFill>
        <a:ln w="0"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600" b="1">
              <a:solidFill>
                <a:sysClr val="windowText" lastClr="000000"/>
              </a:solidFill>
            </a:rPr>
            <a:t>P</a:t>
          </a:r>
          <a:endParaRPr lang="ru-RU" sz="16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46177</xdr:colOff>
      <xdr:row>8</xdr:row>
      <xdr:rowOff>190959</xdr:rowOff>
    </xdr:from>
    <xdr:to>
      <xdr:col>1</xdr:col>
      <xdr:colOff>554357</xdr:colOff>
      <xdr:row>8</xdr:row>
      <xdr:rowOff>190959</xdr:rowOff>
    </xdr:to>
    <xdr:cxnSp macro="">
      <xdr:nvCxnSpPr>
        <xdr:cNvPr id="3" name="Прямая со стрелкой 2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CxnSpPr/>
      </xdr:nvCxnSpPr>
      <xdr:spPr>
        <a:xfrm>
          <a:off x="655777" y="1981659"/>
          <a:ext cx="508180" cy="0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36652</xdr:colOff>
      <xdr:row>9</xdr:row>
      <xdr:rowOff>171909</xdr:rowOff>
    </xdr:from>
    <xdr:to>
      <xdr:col>1</xdr:col>
      <xdr:colOff>552676</xdr:colOff>
      <xdr:row>9</xdr:row>
      <xdr:rowOff>171909</xdr:rowOff>
    </xdr:to>
    <xdr:cxnSp macro="">
      <xdr:nvCxnSpPr>
        <xdr:cNvPr id="4" name="Прямая со стрелкой 3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CxnSpPr/>
      </xdr:nvCxnSpPr>
      <xdr:spPr>
        <a:xfrm>
          <a:off x="646252" y="2343609"/>
          <a:ext cx="516024" cy="0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242785</xdr:colOff>
      <xdr:row>6</xdr:row>
      <xdr:rowOff>180975</xdr:rowOff>
    </xdr:from>
    <xdr:to>
      <xdr:col>1</xdr:col>
      <xdr:colOff>314785</xdr:colOff>
      <xdr:row>6</xdr:row>
      <xdr:rowOff>252975</xdr:rowOff>
    </xdr:to>
    <xdr:sp macro="" textlink="">
      <xdr:nvSpPr>
        <xdr:cNvPr id="5" name="Овал 4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SpPr/>
      </xdr:nvSpPr>
      <xdr:spPr>
        <a:xfrm>
          <a:off x="852385" y="1209675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291652</xdr:colOff>
      <xdr:row>7</xdr:row>
      <xdr:rowOff>66675</xdr:rowOff>
    </xdr:from>
    <xdr:to>
      <xdr:col>1</xdr:col>
      <xdr:colOff>291652</xdr:colOff>
      <xdr:row>7</xdr:row>
      <xdr:rowOff>333375</xdr:rowOff>
    </xdr:to>
    <xdr:cxnSp macro="">
      <xdr:nvCxnSpPr>
        <xdr:cNvPr id="6" name="Прямая со стрелкой 5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CxnSpPr/>
      </xdr:nvCxnSpPr>
      <xdr:spPr>
        <a:xfrm flipV="1">
          <a:off x="901252" y="1476375"/>
          <a:ext cx="0" cy="266700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83253</xdr:colOff>
      <xdr:row>14</xdr:row>
      <xdr:rowOff>104808</xdr:rowOff>
    </xdr:from>
    <xdr:to>
      <xdr:col>1</xdr:col>
      <xdr:colOff>473164</xdr:colOff>
      <xdr:row>14</xdr:row>
      <xdr:rowOff>274860</xdr:rowOff>
    </xdr:to>
    <xdr:grpSp>
      <xdr:nvGrpSpPr>
        <xdr:cNvPr id="7" name="Группа 6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GrpSpPr/>
      </xdr:nvGrpSpPr>
      <xdr:grpSpPr>
        <a:xfrm>
          <a:off x="692853" y="4181508"/>
          <a:ext cx="389911" cy="170052"/>
          <a:chOff x="3482046" y="27087347"/>
          <a:chExt cx="386893" cy="170052"/>
        </a:xfrm>
      </xdr:grpSpPr>
      <xdr:cxnSp macro="">
        <xdr:nvCxnSpPr>
          <xdr:cNvPr id="8" name="Прямая соединительная линия 7">
            <a:extLst>
              <a:ext uri="{FF2B5EF4-FFF2-40B4-BE49-F238E27FC236}">
                <a16:creationId xmlns:a16="http://schemas.microsoft.com/office/drawing/2014/main" xmlns="" id="{00000000-0008-0000-0600-00000A000000}"/>
              </a:ext>
            </a:extLst>
          </xdr:cNvPr>
          <xdr:cNvCxnSpPr/>
        </xdr:nvCxnSpPr>
        <xdr:spPr>
          <a:xfrm>
            <a:off x="3538608" y="27145344"/>
            <a:ext cx="273843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Прямая соединительная линия 8">
            <a:extLst>
              <a:ext uri="{FF2B5EF4-FFF2-40B4-BE49-F238E27FC236}">
                <a16:creationId xmlns:a16="http://schemas.microsoft.com/office/drawing/2014/main" xmlns="" id="{00000000-0008-0000-0600-00000B000000}"/>
              </a:ext>
            </a:extLst>
          </xdr:cNvPr>
          <xdr:cNvCxnSpPr/>
        </xdr:nvCxnSpPr>
        <xdr:spPr>
          <a:xfrm>
            <a:off x="3482046" y="27087347"/>
            <a:ext cx="60798" cy="6079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Прямая соединительная линия 9">
            <a:extLst>
              <a:ext uri="{FF2B5EF4-FFF2-40B4-BE49-F238E27FC236}">
                <a16:creationId xmlns:a16="http://schemas.microsoft.com/office/drawing/2014/main" xmlns="" id="{00000000-0008-0000-0600-00000C000000}"/>
              </a:ext>
            </a:extLst>
          </xdr:cNvPr>
          <xdr:cNvCxnSpPr/>
        </xdr:nvCxnSpPr>
        <xdr:spPr>
          <a:xfrm flipH="1">
            <a:off x="3808141" y="27087347"/>
            <a:ext cx="60798" cy="6079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Прямая соединительная линия 10">
            <a:extLst>
              <a:ext uri="{FF2B5EF4-FFF2-40B4-BE49-F238E27FC236}">
                <a16:creationId xmlns:a16="http://schemas.microsoft.com/office/drawing/2014/main" xmlns="" id="{00000000-0008-0000-0600-00000D000000}"/>
              </a:ext>
            </a:extLst>
          </xdr:cNvPr>
          <xdr:cNvCxnSpPr/>
        </xdr:nvCxnSpPr>
        <xdr:spPr>
          <a:xfrm flipV="1">
            <a:off x="3538608" y="27199402"/>
            <a:ext cx="273843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Прямая соединительная линия 11">
            <a:extLst>
              <a:ext uri="{FF2B5EF4-FFF2-40B4-BE49-F238E27FC236}">
                <a16:creationId xmlns:a16="http://schemas.microsoft.com/office/drawing/2014/main" xmlns="" id="{00000000-0008-0000-0600-00000E000000}"/>
              </a:ext>
            </a:extLst>
          </xdr:cNvPr>
          <xdr:cNvCxnSpPr/>
        </xdr:nvCxnSpPr>
        <xdr:spPr>
          <a:xfrm flipV="1">
            <a:off x="3482046" y="27196601"/>
            <a:ext cx="60798" cy="6079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Прямая соединительная линия 12">
            <a:extLst>
              <a:ext uri="{FF2B5EF4-FFF2-40B4-BE49-F238E27FC236}">
                <a16:creationId xmlns:a16="http://schemas.microsoft.com/office/drawing/2014/main" xmlns="" id="{00000000-0008-0000-0600-00000F000000}"/>
              </a:ext>
            </a:extLst>
          </xdr:cNvPr>
          <xdr:cNvCxnSpPr/>
        </xdr:nvCxnSpPr>
        <xdr:spPr>
          <a:xfrm flipH="1" flipV="1">
            <a:off x="3808141" y="27196601"/>
            <a:ext cx="60798" cy="6079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482983</xdr:colOff>
      <xdr:row>15</xdr:row>
      <xdr:rowOff>56432</xdr:rowOff>
    </xdr:from>
    <xdr:to>
      <xdr:col>2</xdr:col>
      <xdr:colOff>126021</xdr:colOff>
      <xdr:row>15</xdr:row>
      <xdr:rowOff>245224</xdr:rowOff>
    </xdr:to>
    <xdr:grpSp>
      <xdr:nvGrpSpPr>
        <xdr:cNvPr id="14" name="Группа 13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GrpSpPr/>
      </xdr:nvGrpSpPr>
      <xdr:grpSpPr>
        <a:xfrm rot="5400000">
          <a:off x="819706" y="4177409"/>
          <a:ext cx="188792" cy="862238"/>
          <a:chOff x="2276355" y="169337185"/>
          <a:chExt cx="182327" cy="1037451"/>
        </a:xfrm>
      </xdr:grpSpPr>
      <xdr:cxnSp macro="">
        <xdr:nvCxnSpPr>
          <xdr:cNvPr id="15" name="Прямая со стрелкой 14">
            <a:extLst>
              <a:ext uri="{FF2B5EF4-FFF2-40B4-BE49-F238E27FC236}">
                <a16:creationId xmlns:a16="http://schemas.microsoft.com/office/drawing/2014/main" xmlns="" id="{00000000-0008-0000-0600-000011000000}"/>
              </a:ext>
            </a:extLst>
          </xdr:cNvPr>
          <xdr:cNvCxnSpPr/>
        </xdr:nvCxnSpPr>
        <xdr:spPr>
          <a:xfrm>
            <a:off x="2311502" y="169341511"/>
            <a:ext cx="0" cy="1033125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6" name="Прямая со стрелкой 15">
            <a:extLst>
              <a:ext uri="{FF2B5EF4-FFF2-40B4-BE49-F238E27FC236}">
                <a16:creationId xmlns:a16="http://schemas.microsoft.com/office/drawing/2014/main" xmlns="" id="{00000000-0008-0000-0600-000012000000}"/>
              </a:ext>
            </a:extLst>
          </xdr:cNvPr>
          <xdr:cNvCxnSpPr/>
        </xdr:nvCxnSpPr>
        <xdr:spPr>
          <a:xfrm>
            <a:off x="2423538" y="169337185"/>
            <a:ext cx="0" cy="1037451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7" name="Прямая со стрелкой 16">
            <a:extLst>
              <a:ext uri="{FF2B5EF4-FFF2-40B4-BE49-F238E27FC236}">
                <a16:creationId xmlns:a16="http://schemas.microsoft.com/office/drawing/2014/main" xmlns="" id="{00000000-0008-0000-0600-000013000000}"/>
              </a:ext>
            </a:extLst>
          </xdr:cNvPr>
          <xdr:cNvCxnSpPr/>
        </xdr:nvCxnSpPr>
        <xdr:spPr>
          <a:xfrm rot="5400000" flipV="1">
            <a:off x="2367519" y="169285776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8" name="Прямая со стрелкой 17">
            <a:extLst>
              <a:ext uri="{FF2B5EF4-FFF2-40B4-BE49-F238E27FC236}">
                <a16:creationId xmlns:a16="http://schemas.microsoft.com/office/drawing/2014/main" xmlns="" id="{00000000-0008-0000-0600-000014000000}"/>
              </a:ext>
            </a:extLst>
          </xdr:cNvPr>
          <xdr:cNvCxnSpPr/>
        </xdr:nvCxnSpPr>
        <xdr:spPr>
          <a:xfrm rot="5400000" flipV="1">
            <a:off x="2367519" y="169347937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9" name="Прямая со стрелкой 18">
            <a:extLst>
              <a:ext uri="{FF2B5EF4-FFF2-40B4-BE49-F238E27FC236}">
                <a16:creationId xmlns:a16="http://schemas.microsoft.com/office/drawing/2014/main" xmlns="" id="{00000000-0008-0000-0600-000015000000}"/>
              </a:ext>
            </a:extLst>
          </xdr:cNvPr>
          <xdr:cNvCxnSpPr/>
        </xdr:nvCxnSpPr>
        <xdr:spPr>
          <a:xfrm rot="5400000" flipV="1">
            <a:off x="2367519" y="169410098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0" name="Прямая со стрелкой 19">
            <a:extLst>
              <a:ext uri="{FF2B5EF4-FFF2-40B4-BE49-F238E27FC236}">
                <a16:creationId xmlns:a16="http://schemas.microsoft.com/office/drawing/2014/main" xmlns="" id="{00000000-0008-0000-0600-000016000000}"/>
              </a:ext>
            </a:extLst>
          </xdr:cNvPr>
          <xdr:cNvCxnSpPr/>
        </xdr:nvCxnSpPr>
        <xdr:spPr>
          <a:xfrm rot="5400000" flipV="1">
            <a:off x="2367519" y="169472259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1" name="Прямая со стрелкой 20">
            <a:extLst>
              <a:ext uri="{FF2B5EF4-FFF2-40B4-BE49-F238E27FC236}">
                <a16:creationId xmlns:a16="http://schemas.microsoft.com/office/drawing/2014/main" xmlns="" id="{00000000-0008-0000-0600-000017000000}"/>
              </a:ext>
            </a:extLst>
          </xdr:cNvPr>
          <xdr:cNvCxnSpPr/>
        </xdr:nvCxnSpPr>
        <xdr:spPr>
          <a:xfrm rot="5400000" flipV="1">
            <a:off x="2367519" y="169534420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2" name="Прямая со стрелкой 21">
            <a:extLst>
              <a:ext uri="{FF2B5EF4-FFF2-40B4-BE49-F238E27FC236}">
                <a16:creationId xmlns:a16="http://schemas.microsoft.com/office/drawing/2014/main" xmlns="" id="{00000000-0008-0000-0600-000018000000}"/>
              </a:ext>
            </a:extLst>
          </xdr:cNvPr>
          <xdr:cNvCxnSpPr/>
        </xdr:nvCxnSpPr>
        <xdr:spPr>
          <a:xfrm rot="5400000" flipV="1">
            <a:off x="2367519" y="169596581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3" name="Прямая со стрелкой 22">
            <a:extLst>
              <a:ext uri="{FF2B5EF4-FFF2-40B4-BE49-F238E27FC236}">
                <a16:creationId xmlns:a16="http://schemas.microsoft.com/office/drawing/2014/main" xmlns="" id="{00000000-0008-0000-0600-000019000000}"/>
              </a:ext>
            </a:extLst>
          </xdr:cNvPr>
          <xdr:cNvCxnSpPr/>
        </xdr:nvCxnSpPr>
        <xdr:spPr>
          <a:xfrm rot="5400000" flipV="1">
            <a:off x="2367519" y="169658742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4" name="Прямая со стрелкой 23">
            <a:extLst>
              <a:ext uri="{FF2B5EF4-FFF2-40B4-BE49-F238E27FC236}">
                <a16:creationId xmlns:a16="http://schemas.microsoft.com/office/drawing/2014/main" xmlns="" id="{00000000-0008-0000-0600-00001A000000}"/>
              </a:ext>
            </a:extLst>
          </xdr:cNvPr>
          <xdr:cNvCxnSpPr/>
        </xdr:nvCxnSpPr>
        <xdr:spPr>
          <a:xfrm rot="5400000" flipV="1">
            <a:off x="2367519" y="169720903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5" name="Прямая со стрелкой 24">
            <a:extLst>
              <a:ext uri="{FF2B5EF4-FFF2-40B4-BE49-F238E27FC236}">
                <a16:creationId xmlns:a16="http://schemas.microsoft.com/office/drawing/2014/main" xmlns="" id="{00000000-0008-0000-0600-00001B000000}"/>
              </a:ext>
            </a:extLst>
          </xdr:cNvPr>
          <xdr:cNvCxnSpPr/>
        </xdr:nvCxnSpPr>
        <xdr:spPr>
          <a:xfrm rot="5400000" flipV="1">
            <a:off x="2367519" y="169783064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6" name="Прямая со стрелкой 25">
            <a:extLst>
              <a:ext uri="{FF2B5EF4-FFF2-40B4-BE49-F238E27FC236}">
                <a16:creationId xmlns:a16="http://schemas.microsoft.com/office/drawing/2014/main" xmlns="" id="{00000000-0008-0000-0600-00001C000000}"/>
              </a:ext>
            </a:extLst>
          </xdr:cNvPr>
          <xdr:cNvCxnSpPr/>
        </xdr:nvCxnSpPr>
        <xdr:spPr>
          <a:xfrm rot="5400000" flipV="1">
            <a:off x="2367519" y="169845225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7" name="Прямая со стрелкой 26">
            <a:extLst>
              <a:ext uri="{FF2B5EF4-FFF2-40B4-BE49-F238E27FC236}">
                <a16:creationId xmlns:a16="http://schemas.microsoft.com/office/drawing/2014/main" xmlns="" id="{00000000-0008-0000-0600-00001D000000}"/>
              </a:ext>
            </a:extLst>
          </xdr:cNvPr>
          <xdr:cNvCxnSpPr/>
        </xdr:nvCxnSpPr>
        <xdr:spPr>
          <a:xfrm rot="5400000" flipV="1">
            <a:off x="2367519" y="169907386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8" name="Прямая со стрелкой 27">
            <a:extLst>
              <a:ext uri="{FF2B5EF4-FFF2-40B4-BE49-F238E27FC236}">
                <a16:creationId xmlns:a16="http://schemas.microsoft.com/office/drawing/2014/main" xmlns="" id="{00000000-0008-0000-0600-00001E000000}"/>
              </a:ext>
            </a:extLst>
          </xdr:cNvPr>
          <xdr:cNvCxnSpPr/>
        </xdr:nvCxnSpPr>
        <xdr:spPr>
          <a:xfrm rot="5400000" flipV="1">
            <a:off x="2367519" y="169969547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9" name="Прямая со стрелкой 28">
            <a:extLst>
              <a:ext uri="{FF2B5EF4-FFF2-40B4-BE49-F238E27FC236}">
                <a16:creationId xmlns:a16="http://schemas.microsoft.com/office/drawing/2014/main" xmlns="" id="{00000000-0008-0000-0600-00001F000000}"/>
              </a:ext>
            </a:extLst>
          </xdr:cNvPr>
          <xdr:cNvCxnSpPr/>
        </xdr:nvCxnSpPr>
        <xdr:spPr>
          <a:xfrm rot="5400000" flipV="1">
            <a:off x="2367519" y="170031708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0" name="Прямая со стрелкой 29">
            <a:extLst>
              <a:ext uri="{FF2B5EF4-FFF2-40B4-BE49-F238E27FC236}">
                <a16:creationId xmlns:a16="http://schemas.microsoft.com/office/drawing/2014/main" xmlns="" id="{00000000-0008-0000-0600-000020000000}"/>
              </a:ext>
            </a:extLst>
          </xdr:cNvPr>
          <xdr:cNvCxnSpPr/>
        </xdr:nvCxnSpPr>
        <xdr:spPr>
          <a:xfrm rot="5400000" flipV="1">
            <a:off x="2367519" y="170093869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1" name="Прямая со стрелкой 30">
            <a:extLst>
              <a:ext uri="{FF2B5EF4-FFF2-40B4-BE49-F238E27FC236}">
                <a16:creationId xmlns:a16="http://schemas.microsoft.com/office/drawing/2014/main" xmlns="" id="{00000000-0008-0000-0600-000021000000}"/>
              </a:ext>
            </a:extLst>
          </xdr:cNvPr>
          <xdr:cNvCxnSpPr/>
        </xdr:nvCxnSpPr>
        <xdr:spPr>
          <a:xfrm rot="5400000" flipV="1">
            <a:off x="2367519" y="170156030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2" name="Прямая со стрелкой 31">
            <a:extLst>
              <a:ext uri="{FF2B5EF4-FFF2-40B4-BE49-F238E27FC236}">
                <a16:creationId xmlns:a16="http://schemas.microsoft.com/office/drawing/2014/main" xmlns="" id="{00000000-0008-0000-0600-000022000000}"/>
              </a:ext>
            </a:extLst>
          </xdr:cNvPr>
          <xdr:cNvCxnSpPr/>
        </xdr:nvCxnSpPr>
        <xdr:spPr>
          <a:xfrm rot="5400000" flipV="1">
            <a:off x="2367519" y="170218192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543943</xdr:colOff>
      <xdr:row>24</xdr:row>
      <xdr:rowOff>67580</xdr:rowOff>
    </xdr:from>
    <xdr:to>
      <xdr:col>1</xdr:col>
      <xdr:colOff>183898</xdr:colOff>
      <xdr:row>24</xdr:row>
      <xdr:rowOff>321647</xdr:rowOff>
    </xdr:to>
    <xdr:sp macro="" textlink="">
      <xdr:nvSpPr>
        <xdr:cNvPr id="33" name="Овал 32">
          <a:extLst>
            <a:ext uri="{FF2B5EF4-FFF2-40B4-BE49-F238E27FC236}">
              <a16:creationId xmlns:a16="http://schemas.microsoft.com/office/drawing/2014/main" xmlns="" id="{00000000-0008-0000-0600-000023000000}"/>
            </a:ext>
          </a:extLst>
        </xdr:cNvPr>
        <xdr:cNvSpPr/>
      </xdr:nvSpPr>
      <xdr:spPr>
        <a:xfrm>
          <a:off x="543943" y="7468505"/>
          <a:ext cx="249555" cy="254067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0</xdr:col>
      <xdr:colOff>429643</xdr:colOff>
      <xdr:row>30</xdr:row>
      <xdr:rowOff>72092</xdr:rowOff>
    </xdr:from>
    <xdr:to>
      <xdr:col>1</xdr:col>
      <xdr:colOff>69598</xdr:colOff>
      <xdr:row>30</xdr:row>
      <xdr:rowOff>321647</xdr:rowOff>
    </xdr:to>
    <xdr:sp macro="" textlink="">
      <xdr:nvSpPr>
        <xdr:cNvPr id="34" name="Овал 33">
          <a:extLst>
            <a:ext uri="{FF2B5EF4-FFF2-40B4-BE49-F238E27FC236}">
              <a16:creationId xmlns:a16="http://schemas.microsoft.com/office/drawing/2014/main" xmlns="" id="{00000000-0008-0000-0600-000024000000}"/>
            </a:ext>
          </a:extLst>
        </xdr:cNvPr>
        <xdr:cNvSpPr/>
      </xdr:nvSpPr>
      <xdr:spPr>
        <a:xfrm>
          <a:off x="429643" y="9759017"/>
          <a:ext cx="249555" cy="249555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1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216283</xdr:colOff>
      <xdr:row>30</xdr:row>
      <xdr:rowOff>72092</xdr:rowOff>
    </xdr:from>
    <xdr:to>
      <xdr:col>1</xdr:col>
      <xdr:colOff>468856</xdr:colOff>
      <xdr:row>30</xdr:row>
      <xdr:rowOff>321647</xdr:rowOff>
    </xdr:to>
    <xdr:sp macro="" textlink="">
      <xdr:nvSpPr>
        <xdr:cNvPr id="35" name="Овал 34">
          <a:extLst>
            <a:ext uri="{FF2B5EF4-FFF2-40B4-BE49-F238E27FC236}">
              <a16:creationId xmlns:a16="http://schemas.microsoft.com/office/drawing/2014/main" xmlns="" id="{00000000-0008-0000-0600-000025000000}"/>
            </a:ext>
          </a:extLst>
        </xdr:cNvPr>
        <xdr:cNvSpPr/>
      </xdr:nvSpPr>
      <xdr:spPr>
        <a:xfrm>
          <a:off x="825883" y="9759017"/>
          <a:ext cx="252573" cy="249555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0</xdr:col>
      <xdr:colOff>524893</xdr:colOff>
      <xdr:row>25</xdr:row>
      <xdr:rowOff>58183</xdr:rowOff>
    </xdr:from>
    <xdr:to>
      <xdr:col>2</xdr:col>
      <xdr:colOff>144782</xdr:colOff>
      <xdr:row>25</xdr:row>
      <xdr:rowOff>333077</xdr:rowOff>
    </xdr:to>
    <xdr:sp macro="" textlink="">
      <xdr:nvSpPr>
        <xdr:cNvPr id="36" name="Полилиния 35">
          <a:extLst>
            <a:ext uri="{FF2B5EF4-FFF2-40B4-BE49-F238E27FC236}">
              <a16:creationId xmlns:a16="http://schemas.microsoft.com/office/drawing/2014/main" xmlns="" id="{00000000-0008-0000-0600-000026000000}"/>
            </a:ext>
          </a:extLst>
        </xdr:cNvPr>
        <xdr:cNvSpPr/>
      </xdr:nvSpPr>
      <xdr:spPr>
        <a:xfrm>
          <a:off x="524893" y="7840108"/>
          <a:ext cx="839089" cy="274894"/>
        </a:xfrm>
        <a:custGeom>
          <a:avLst/>
          <a:gdLst>
            <a:gd name="connsiteX0" fmla="*/ 0 w 690771"/>
            <a:gd name="connsiteY0" fmla="*/ 61534 h 274894"/>
            <a:gd name="connsiteX1" fmla="*/ 95250 w 690771"/>
            <a:gd name="connsiteY1" fmla="*/ 225364 h 274894"/>
            <a:gd name="connsiteX2" fmla="*/ 304800 w 690771"/>
            <a:gd name="connsiteY2" fmla="*/ 164404 h 274894"/>
            <a:gd name="connsiteX3" fmla="*/ 499110 w 690771"/>
            <a:gd name="connsiteY3" fmla="*/ 46294 h 274894"/>
            <a:gd name="connsiteX4" fmla="*/ 643890 w 690771"/>
            <a:gd name="connsiteY4" fmla="*/ 8194 h 274894"/>
            <a:gd name="connsiteX5" fmla="*/ 681990 w 690771"/>
            <a:gd name="connsiteY5" fmla="*/ 194884 h 274894"/>
            <a:gd name="connsiteX6" fmla="*/ 495300 w 690771"/>
            <a:gd name="connsiteY6" fmla="*/ 274894 h 2748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690771" h="274894">
              <a:moveTo>
                <a:pt x="0" y="61534"/>
              </a:moveTo>
              <a:cubicBezTo>
                <a:pt x="22225" y="134876"/>
                <a:pt x="44450" y="208219"/>
                <a:pt x="95250" y="225364"/>
              </a:cubicBezTo>
              <a:cubicBezTo>
                <a:pt x="146050" y="242509"/>
                <a:pt x="237490" y="194249"/>
                <a:pt x="304800" y="164404"/>
              </a:cubicBezTo>
              <a:cubicBezTo>
                <a:pt x="372110" y="134559"/>
                <a:pt x="442595" y="72329"/>
                <a:pt x="499110" y="46294"/>
              </a:cubicBezTo>
              <a:cubicBezTo>
                <a:pt x="555625" y="20259"/>
                <a:pt x="613410" y="-16571"/>
                <a:pt x="643890" y="8194"/>
              </a:cubicBezTo>
              <a:cubicBezTo>
                <a:pt x="674370" y="32959"/>
                <a:pt x="706755" y="150434"/>
                <a:pt x="681990" y="194884"/>
              </a:cubicBezTo>
              <a:cubicBezTo>
                <a:pt x="657225" y="239334"/>
                <a:pt x="530225" y="260924"/>
                <a:pt x="495300" y="274894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м</a:t>
          </a:r>
        </a:p>
      </xdr:txBody>
    </xdr:sp>
    <xdr:clientData/>
  </xdr:twoCellAnchor>
  <xdr:twoCellAnchor>
    <xdr:from>
      <xdr:col>1</xdr:col>
      <xdr:colOff>305671</xdr:colOff>
      <xdr:row>26</xdr:row>
      <xdr:rowOff>75169</xdr:rowOff>
    </xdr:from>
    <xdr:to>
      <xdr:col>1</xdr:col>
      <xdr:colOff>380406</xdr:colOff>
      <xdr:row>26</xdr:row>
      <xdr:rowOff>262152</xdr:rowOff>
    </xdr:to>
    <xdr:cxnSp macro="">
      <xdr:nvCxnSpPr>
        <xdr:cNvPr id="37" name="Прямая соединительная линия 36">
          <a:extLst>
            <a:ext uri="{FF2B5EF4-FFF2-40B4-BE49-F238E27FC236}">
              <a16:creationId xmlns:a16="http://schemas.microsoft.com/office/drawing/2014/main" xmlns="" id="{00000000-0008-0000-0600-000027000000}"/>
            </a:ext>
          </a:extLst>
        </xdr:cNvPr>
        <xdr:cNvCxnSpPr/>
      </xdr:nvCxnSpPr>
      <xdr:spPr>
        <a:xfrm>
          <a:off x="915271" y="8238094"/>
          <a:ext cx="74735" cy="186983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124843</xdr:colOff>
      <xdr:row>27</xdr:row>
      <xdr:rowOff>173057</xdr:rowOff>
    </xdr:from>
    <xdr:to>
      <xdr:col>1</xdr:col>
      <xdr:colOff>155323</xdr:colOff>
      <xdr:row>27</xdr:row>
      <xdr:rowOff>237827</xdr:rowOff>
    </xdr:to>
    <xdr:cxnSp macro="">
      <xdr:nvCxnSpPr>
        <xdr:cNvPr id="38" name="Прямая соединительная линия 37">
          <a:extLst>
            <a:ext uri="{FF2B5EF4-FFF2-40B4-BE49-F238E27FC236}">
              <a16:creationId xmlns:a16="http://schemas.microsoft.com/office/drawing/2014/main" xmlns="" id="{00000000-0008-0000-0600-000028000000}"/>
            </a:ext>
          </a:extLst>
        </xdr:cNvPr>
        <xdr:cNvCxnSpPr/>
      </xdr:nvCxnSpPr>
      <xdr:spPr>
        <a:xfrm>
          <a:off x="734443" y="8716982"/>
          <a:ext cx="30480" cy="6477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151513</xdr:colOff>
      <xdr:row>27</xdr:row>
      <xdr:rowOff>173057</xdr:rowOff>
    </xdr:from>
    <xdr:to>
      <xdr:col>1</xdr:col>
      <xdr:colOff>520291</xdr:colOff>
      <xdr:row>27</xdr:row>
      <xdr:rowOff>226397</xdr:rowOff>
    </xdr:to>
    <xdr:cxnSp macro="">
      <xdr:nvCxnSpPr>
        <xdr:cNvPr id="39" name="Прямая со стрелкой 38">
          <a:extLst>
            <a:ext uri="{FF2B5EF4-FFF2-40B4-BE49-F238E27FC236}">
              <a16:creationId xmlns:a16="http://schemas.microsoft.com/office/drawing/2014/main" xmlns="" id="{00000000-0008-0000-0600-000029000000}"/>
            </a:ext>
          </a:extLst>
        </xdr:cNvPr>
        <xdr:cNvCxnSpPr/>
      </xdr:nvCxnSpPr>
      <xdr:spPr>
        <a:xfrm flipV="1">
          <a:off x="761113" y="8716982"/>
          <a:ext cx="368778" cy="53340"/>
        </a:xfrm>
        <a:prstGeom prst="straightConnector1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524893</xdr:colOff>
      <xdr:row>29</xdr:row>
      <xdr:rowOff>58183</xdr:rowOff>
    </xdr:from>
    <xdr:to>
      <xdr:col>2</xdr:col>
      <xdr:colOff>144782</xdr:colOff>
      <xdr:row>29</xdr:row>
      <xdr:rowOff>333077</xdr:rowOff>
    </xdr:to>
    <xdr:sp macro="" textlink="">
      <xdr:nvSpPr>
        <xdr:cNvPr id="40" name="Полилиния 39">
          <a:extLst>
            <a:ext uri="{FF2B5EF4-FFF2-40B4-BE49-F238E27FC236}">
              <a16:creationId xmlns:a16="http://schemas.microsoft.com/office/drawing/2014/main" xmlns="" id="{00000000-0008-0000-0600-00002A000000}"/>
            </a:ext>
          </a:extLst>
        </xdr:cNvPr>
        <xdr:cNvSpPr/>
      </xdr:nvSpPr>
      <xdr:spPr>
        <a:xfrm>
          <a:off x="524893" y="9364108"/>
          <a:ext cx="839089" cy="274894"/>
        </a:xfrm>
        <a:custGeom>
          <a:avLst/>
          <a:gdLst>
            <a:gd name="connsiteX0" fmla="*/ 0 w 690771"/>
            <a:gd name="connsiteY0" fmla="*/ 61534 h 274894"/>
            <a:gd name="connsiteX1" fmla="*/ 95250 w 690771"/>
            <a:gd name="connsiteY1" fmla="*/ 225364 h 274894"/>
            <a:gd name="connsiteX2" fmla="*/ 304800 w 690771"/>
            <a:gd name="connsiteY2" fmla="*/ 164404 h 274894"/>
            <a:gd name="connsiteX3" fmla="*/ 499110 w 690771"/>
            <a:gd name="connsiteY3" fmla="*/ 46294 h 274894"/>
            <a:gd name="connsiteX4" fmla="*/ 643890 w 690771"/>
            <a:gd name="connsiteY4" fmla="*/ 8194 h 274894"/>
            <a:gd name="connsiteX5" fmla="*/ 681990 w 690771"/>
            <a:gd name="connsiteY5" fmla="*/ 194884 h 274894"/>
            <a:gd name="connsiteX6" fmla="*/ 495300 w 690771"/>
            <a:gd name="connsiteY6" fmla="*/ 274894 h 2748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690771" h="274894">
              <a:moveTo>
                <a:pt x="0" y="61534"/>
              </a:moveTo>
              <a:cubicBezTo>
                <a:pt x="22225" y="134876"/>
                <a:pt x="44450" y="208219"/>
                <a:pt x="95250" y="225364"/>
              </a:cubicBezTo>
              <a:cubicBezTo>
                <a:pt x="146050" y="242509"/>
                <a:pt x="237490" y="194249"/>
                <a:pt x="304800" y="164404"/>
              </a:cubicBezTo>
              <a:cubicBezTo>
                <a:pt x="372110" y="134559"/>
                <a:pt x="442595" y="72329"/>
                <a:pt x="499110" y="46294"/>
              </a:cubicBezTo>
              <a:cubicBezTo>
                <a:pt x="555625" y="20259"/>
                <a:pt x="613410" y="-16571"/>
                <a:pt x="643890" y="8194"/>
              </a:cubicBezTo>
              <a:cubicBezTo>
                <a:pt x="674370" y="32959"/>
                <a:pt x="706755" y="150434"/>
                <a:pt x="681990" y="194884"/>
              </a:cubicBezTo>
              <a:cubicBezTo>
                <a:pt x="657225" y="239334"/>
                <a:pt x="530225" y="260924"/>
                <a:pt x="495300" y="274894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402163</xdr:colOff>
      <xdr:row>29</xdr:row>
      <xdr:rowOff>123698</xdr:rowOff>
    </xdr:from>
    <xdr:to>
      <xdr:col>1</xdr:col>
      <xdr:colOff>414454</xdr:colOff>
      <xdr:row>29</xdr:row>
      <xdr:rowOff>152889</xdr:rowOff>
    </xdr:to>
    <xdr:cxnSp macro="">
      <xdr:nvCxnSpPr>
        <xdr:cNvPr id="41" name="Прямая соединительная линия 40">
          <a:extLst>
            <a:ext uri="{FF2B5EF4-FFF2-40B4-BE49-F238E27FC236}">
              <a16:creationId xmlns:a16="http://schemas.microsoft.com/office/drawing/2014/main" xmlns="" id="{00000000-0008-0000-0600-00002B000000}"/>
            </a:ext>
          </a:extLst>
        </xdr:cNvPr>
        <xdr:cNvCxnSpPr/>
      </xdr:nvCxnSpPr>
      <xdr:spPr>
        <a:xfrm>
          <a:off x="1011763" y="9429623"/>
          <a:ext cx="12291" cy="2919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562963</xdr:colOff>
      <xdr:row>29</xdr:row>
      <xdr:rowOff>53600</xdr:rowOff>
    </xdr:from>
    <xdr:to>
      <xdr:col>1</xdr:col>
      <xdr:colOff>563578</xdr:colOff>
      <xdr:row>29</xdr:row>
      <xdr:rowOff>86169</xdr:rowOff>
    </xdr:to>
    <xdr:cxnSp macro="">
      <xdr:nvCxnSpPr>
        <xdr:cNvPr id="42" name="Прямая соединительная линия 41">
          <a:extLst>
            <a:ext uri="{FF2B5EF4-FFF2-40B4-BE49-F238E27FC236}">
              <a16:creationId xmlns:a16="http://schemas.microsoft.com/office/drawing/2014/main" xmlns="" id="{00000000-0008-0000-0600-00002C000000}"/>
            </a:ext>
          </a:extLst>
        </xdr:cNvPr>
        <xdr:cNvCxnSpPr/>
      </xdr:nvCxnSpPr>
      <xdr:spPr>
        <a:xfrm flipV="1">
          <a:off x="1172563" y="9359525"/>
          <a:ext cx="615" cy="3256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524893</xdr:colOff>
      <xdr:row>28</xdr:row>
      <xdr:rowOff>58183</xdr:rowOff>
    </xdr:from>
    <xdr:to>
      <xdr:col>2</xdr:col>
      <xdr:colOff>144782</xdr:colOff>
      <xdr:row>28</xdr:row>
      <xdr:rowOff>333077</xdr:rowOff>
    </xdr:to>
    <xdr:sp macro="" textlink="">
      <xdr:nvSpPr>
        <xdr:cNvPr id="43" name="Полилиния 42">
          <a:extLst>
            <a:ext uri="{FF2B5EF4-FFF2-40B4-BE49-F238E27FC236}">
              <a16:creationId xmlns:a16="http://schemas.microsoft.com/office/drawing/2014/main" xmlns="" id="{00000000-0008-0000-0600-00002D000000}"/>
            </a:ext>
          </a:extLst>
        </xdr:cNvPr>
        <xdr:cNvSpPr/>
      </xdr:nvSpPr>
      <xdr:spPr>
        <a:xfrm>
          <a:off x="524893" y="8983108"/>
          <a:ext cx="839089" cy="274894"/>
        </a:xfrm>
        <a:custGeom>
          <a:avLst/>
          <a:gdLst>
            <a:gd name="connsiteX0" fmla="*/ 0 w 690771"/>
            <a:gd name="connsiteY0" fmla="*/ 61534 h 274894"/>
            <a:gd name="connsiteX1" fmla="*/ 95250 w 690771"/>
            <a:gd name="connsiteY1" fmla="*/ 225364 h 274894"/>
            <a:gd name="connsiteX2" fmla="*/ 304800 w 690771"/>
            <a:gd name="connsiteY2" fmla="*/ 164404 h 274894"/>
            <a:gd name="connsiteX3" fmla="*/ 499110 w 690771"/>
            <a:gd name="connsiteY3" fmla="*/ 46294 h 274894"/>
            <a:gd name="connsiteX4" fmla="*/ 643890 w 690771"/>
            <a:gd name="connsiteY4" fmla="*/ 8194 h 274894"/>
            <a:gd name="connsiteX5" fmla="*/ 681990 w 690771"/>
            <a:gd name="connsiteY5" fmla="*/ 194884 h 274894"/>
            <a:gd name="connsiteX6" fmla="*/ 495300 w 690771"/>
            <a:gd name="connsiteY6" fmla="*/ 274894 h 2748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690771" h="274894">
              <a:moveTo>
                <a:pt x="0" y="61534"/>
              </a:moveTo>
              <a:cubicBezTo>
                <a:pt x="22225" y="134876"/>
                <a:pt x="44450" y="208219"/>
                <a:pt x="95250" y="225364"/>
              </a:cubicBezTo>
              <a:cubicBezTo>
                <a:pt x="146050" y="242509"/>
                <a:pt x="237490" y="194249"/>
                <a:pt x="304800" y="164404"/>
              </a:cubicBezTo>
              <a:cubicBezTo>
                <a:pt x="372110" y="134559"/>
                <a:pt x="442595" y="72329"/>
                <a:pt x="499110" y="46294"/>
              </a:cubicBezTo>
              <a:cubicBezTo>
                <a:pt x="555625" y="20259"/>
                <a:pt x="613410" y="-16571"/>
                <a:pt x="643890" y="8194"/>
              </a:cubicBezTo>
              <a:cubicBezTo>
                <a:pt x="674370" y="32959"/>
                <a:pt x="706755" y="150434"/>
                <a:pt x="681990" y="194884"/>
              </a:cubicBezTo>
              <a:cubicBezTo>
                <a:pt x="657225" y="239334"/>
                <a:pt x="530225" y="260924"/>
                <a:pt x="495300" y="274894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3571</xdr:colOff>
      <xdr:row>28</xdr:row>
      <xdr:rowOff>132001</xdr:rowOff>
    </xdr:from>
    <xdr:to>
      <xdr:col>2</xdr:col>
      <xdr:colOff>75571</xdr:colOff>
      <xdr:row>28</xdr:row>
      <xdr:rowOff>204001</xdr:rowOff>
    </xdr:to>
    <xdr:sp macro="" textlink="">
      <xdr:nvSpPr>
        <xdr:cNvPr id="44" name="Овал 43">
          <a:extLst>
            <a:ext uri="{FF2B5EF4-FFF2-40B4-BE49-F238E27FC236}">
              <a16:creationId xmlns:a16="http://schemas.microsoft.com/office/drawing/2014/main" xmlns="" id="{00000000-0008-0000-0600-00002E000000}"/>
            </a:ext>
          </a:extLst>
        </xdr:cNvPr>
        <xdr:cNvSpPr/>
      </xdr:nvSpPr>
      <xdr:spPr>
        <a:xfrm>
          <a:off x="1222771" y="9056926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342900</xdr:colOff>
      <xdr:row>16</xdr:row>
      <xdr:rowOff>37363</xdr:rowOff>
    </xdr:from>
    <xdr:to>
      <xdr:col>1</xdr:col>
      <xdr:colOff>17116</xdr:colOff>
      <xdr:row>16</xdr:row>
      <xdr:rowOff>317454</xdr:rowOff>
    </xdr:to>
    <xdr:sp macro="" textlink="">
      <xdr:nvSpPr>
        <xdr:cNvPr id="45" name="Овал 44">
          <a:extLst>
            <a:ext uri="{FF2B5EF4-FFF2-40B4-BE49-F238E27FC236}">
              <a16:creationId xmlns:a16="http://schemas.microsoft.com/office/drawing/2014/main" xmlns="" id="{00000000-0008-0000-0600-00002F000000}"/>
            </a:ext>
          </a:extLst>
        </xdr:cNvPr>
        <xdr:cNvSpPr/>
      </xdr:nvSpPr>
      <xdr:spPr>
        <a:xfrm>
          <a:off x="342900" y="4876063"/>
          <a:ext cx="283816" cy="280091"/>
        </a:xfrm>
        <a:prstGeom prst="ellipse">
          <a:avLst/>
        </a:prstGeom>
        <a:solidFill>
          <a:schemeClr val="bg1"/>
        </a:solidFill>
        <a:ln w="31750">
          <a:solidFill>
            <a:srgbClr val="FF0000"/>
          </a:solidFill>
          <a:prstDash val="sysDash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90</a:t>
          </a:r>
          <a:endParaRPr lang="ru-RU" sz="10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140174</xdr:colOff>
      <xdr:row>16</xdr:row>
      <xdr:rowOff>43228</xdr:rowOff>
    </xdr:from>
    <xdr:to>
      <xdr:col>2</xdr:col>
      <xdr:colOff>439911</xdr:colOff>
      <xdr:row>16</xdr:row>
      <xdr:rowOff>298777</xdr:rowOff>
    </xdr:to>
    <xdr:sp macro="" textlink="">
      <xdr:nvSpPr>
        <xdr:cNvPr id="46" name="Прямоугольник 45">
          <a:extLst>
            <a:ext uri="{FF2B5EF4-FFF2-40B4-BE49-F238E27FC236}">
              <a16:creationId xmlns:a16="http://schemas.microsoft.com/office/drawing/2014/main" xmlns="" id="{00000000-0008-0000-0600-000030000000}"/>
            </a:ext>
          </a:extLst>
        </xdr:cNvPr>
        <xdr:cNvSpPr/>
      </xdr:nvSpPr>
      <xdr:spPr>
        <a:xfrm>
          <a:off x="749774" y="4881928"/>
          <a:ext cx="909337" cy="255549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  <a:prstDash val="dash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endParaRPr lang="ru-RU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129367</xdr:colOff>
      <xdr:row>29</xdr:row>
      <xdr:rowOff>205680</xdr:rowOff>
    </xdr:from>
    <xdr:to>
      <xdr:col>1</xdr:col>
      <xdr:colOff>170121</xdr:colOff>
      <xdr:row>29</xdr:row>
      <xdr:rowOff>305854</xdr:rowOff>
    </xdr:to>
    <xdr:cxnSp macro="">
      <xdr:nvCxnSpPr>
        <xdr:cNvPr id="47" name="Прямая соединительная линия 46">
          <a:extLst>
            <a:ext uri="{FF2B5EF4-FFF2-40B4-BE49-F238E27FC236}">
              <a16:creationId xmlns:a16="http://schemas.microsoft.com/office/drawing/2014/main" xmlns="" id="{00000000-0008-0000-0600-000031000000}"/>
            </a:ext>
          </a:extLst>
        </xdr:cNvPr>
        <xdr:cNvCxnSpPr/>
      </xdr:nvCxnSpPr>
      <xdr:spPr>
        <a:xfrm flipH="1" flipV="1">
          <a:off x="738967" y="9511605"/>
          <a:ext cx="40754" cy="100174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592457</xdr:colOff>
      <xdr:row>30</xdr:row>
      <xdr:rowOff>73997</xdr:rowOff>
    </xdr:from>
    <xdr:to>
      <xdr:col>2</xdr:col>
      <xdr:colOff>232412</xdr:colOff>
      <xdr:row>30</xdr:row>
      <xdr:rowOff>323552</xdr:rowOff>
    </xdr:to>
    <xdr:sp macro="" textlink="">
      <xdr:nvSpPr>
        <xdr:cNvPr id="48" name="Овал 47">
          <a:extLst>
            <a:ext uri="{FF2B5EF4-FFF2-40B4-BE49-F238E27FC236}">
              <a16:creationId xmlns:a16="http://schemas.microsoft.com/office/drawing/2014/main" xmlns="" id="{00000000-0008-0000-0600-000032000000}"/>
            </a:ext>
          </a:extLst>
        </xdr:cNvPr>
        <xdr:cNvSpPr/>
      </xdr:nvSpPr>
      <xdr:spPr>
        <a:xfrm>
          <a:off x="1202057" y="9760922"/>
          <a:ext cx="249555" cy="249555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3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432661</xdr:colOff>
      <xdr:row>24</xdr:row>
      <xdr:rowOff>69485</xdr:rowOff>
    </xdr:from>
    <xdr:to>
      <xdr:col>2</xdr:col>
      <xdr:colOff>74297</xdr:colOff>
      <xdr:row>24</xdr:row>
      <xdr:rowOff>323552</xdr:rowOff>
    </xdr:to>
    <xdr:sp macro="" textlink="">
      <xdr:nvSpPr>
        <xdr:cNvPr id="49" name="Овал 48">
          <a:extLst>
            <a:ext uri="{FF2B5EF4-FFF2-40B4-BE49-F238E27FC236}">
              <a16:creationId xmlns:a16="http://schemas.microsoft.com/office/drawing/2014/main" xmlns="" id="{00000000-0008-0000-0600-000033000000}"/>
            </a:ext>
          </a:extLst>
        </xdr:cNvPr>
        <xdr:cNvSpPr/>
      </xdr:nvSpPr>
      <xdr:spPr>
        <a:xfrm>
          <a:off x="1042261" y="7470410"/>
          <a:ext cx="251236" cy="254067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F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381399</xdr:colOff>
      <xdr:row>13</xdr:row>
      <xdr:rowOff>24023</xdr:rowOff>
    </xdr:from>
    <xdr:to>
      <xdr:col>2</xdr:col>
      <xdr:colOff>205247</xdr:colOff>
      <xdr:row>13</xdr:row>
      <xdr:rowOff>358889</xdr:rowOff>
    </xdr:to>
    <xdr:sp macro="" textlink="">
      <xdr:nvSpPr>
        <xdr:cNvPr id="50" name="Прямоугольник 49">
          <a:extLst>
            <a:ext uri="{FF2B5EF4-FFF2-40B4-BE49-F238E27FC236}">
              <a16:creationId xmlns:a16="http://schemas.microsoft.com/office/drawing/2014/main" xmlns="" id="{00000000-0008-0000-0600-000034000000}"/>
            </a:ext>
          </a:extLst>
        </xdr:cNvPr>
        <xdr:cNvSpPr/>
      </xdr:nvSpPr>
      <xdr:spPr>
        <a:xfrm>
          <a:off x="990999" y="3719723"/>
          <a:ext cx="433448" cy="334866"/>
        </a:xfrm>
        <a:prstGeom prst="rect">
          <a:avLst/>
        </a:prstGeom>
        <a:solidFill>
          <a:schemeClr val="bg1">
            <a:lumMod val="85000"/>
          </a:schemeClr>
        </a:solidFill>
        <a:ln w="0"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ru-RU" sz="16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502912</xdr:colOff>
      <xdr:row>26</xdr:row>
      <xdr:rowOff>60381</xdr:rowOff>
    </xdr:from>
    <xdr:to>
      <xdr:col>2</xdr:col>
      <xdr:colOff>122801</xdr:colOff>
      <xdr:row>26</xdr:row>
      <xdr:rowOff>335275</xdr:rowOff>
    </xdr:to>
    <xdr:sp macro="" textlink="">
      <xdr:nvSpPr>
        <xdr:cNvPr id="51" name="Полилиния 50">
          <a:extLst>
            <a:ext uri="{FF2B5EF4-FFF2-40B4-BE49-F238E27FC236}">
              <a16:creationId xmlns:a16="http://schemas.microsoft.com/office/drawing/2014/main" xmlns="" id="{00000000-0008-0000-0600-000035000000}"/>
            </a:ext>
          </a:extLst>
        </xdr:cNvPr>
        <xdr:cNvSpPr/>
      </xdr:nvSpPr>
      <xdr:spPr>
        <a:xfrm>
          <a:off x="502912" y="8223306"/>
          <a:ext cx="839089" cy="274894"/>
        </a:xfrm>
        <a:custGeom>
          <a:avLst/>
          <a:gdLst>
            <a:gd name="connsiteX0" fmla="*/ 0 w 690771"/>
            <a:gd name="connsiteY0" fmla="*/ 61534 h 274894"/>
            <a:gd name="connsiteX1" fmla="*/ 95250 w 690771"/>
            <a:gd name="connsiteY1" fmla="*/ 225364 h 274894"/>
            <a:gd name="connsiteX2" fmla="*/ 304800 w 690771"/>
            <a:gd name="connsiteY2" fmla="*/ 164404 h 274894"/>
            <a:gd name="connsiteX3" fmla="*/ 499110 w 690771"/>
            <a:gd name="connsiteY3" fmla="*/ 46294 h 274894"/>
            <a:gd name="connsiteX4" fmla="*/ 643890 w 690771"/>
            <a:gd name="connsiteY4" fmla="*/ 8194 h 274894"/>
            <a:gd name="connsiteX5" fmla="*/ 681990 w 690771"/>
            <a:gd name="connsiteY5" fmla="*/ 194884 h 274894"/>
            <a:gd name="connsiteX6" fmla="*/ 495300 w 690771"/>
            <a:gd name="connsiteY6" fmla="*/ 274894 h 2748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690771" h="274894">
              <a:moveTo>
                <a:pt x="0" y="61534"/>
              </a:moveTo>
              <a:cubicBezTo>
                <a:pt x="22225" y="134876"/>
                <a:pt x="44450" y="208219"/>
                <a:pt x="95250" y="225364"/>
              </a:cubicBezTo>
              <a:cubicBezTo>
                <a:pt x="146050" y="242509"/>
                <a:pt x="237490" y="194249"/>
                <a:pt x="304800" y="164404"/>
              </a:cubicBezTo>
              <a:cubicBezTo>
                <a:pt x="372110" y="134559"/>
                <a:pt x="442595" y="72329"/>
                <a:pt x="499110" y="46294"/>
              </a:cubicBezTo>
              <a:cubicBezTo>
                <a:pt x="555625" y="20259"/>
                <a:pt x="613410" y="-16571"/>
                <a:pt x="643890" y="8194"/>
              </a:cubicBezTo>
              <a:cubicBezTo>
                <a:pt x="674370" y="32959"/>
                <a:pt x="706755" y="150434"/>
                <a:pt x="681990" y="194884"/>
              </a:cubicBezTo>
              <a:cubicBezTo>
                <a:pt x="657225" y="239334"/>
                <a:pt x="530225" y="260924"/>
                <a:pt x="495300" y="274894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м</a:t>
          </a:r>
        </a:p>
      </xdr:txBody>
    </xdr:sp>
    <xdr:clientData/>
  </xdr:twoCellAnchor>
  <xdr:twoCellAnchor>
    <xdr:from>
      <xdr:col>0</xdr:col>
      <xdr:colOff>342900</xdr:colOff>
      <xdr:row>17</xdr:row>
      <xdr:rowOff>28844</xdr:rowOff>
    </xdr:from>
    <xdr:to>
      <xdr:col>1</xdr:col>
      <xdr:colOff>17116</xdr:colOff>
      <xdr:row>17</xdr:row>
      <xdr:rowOff>372222</xdr:rowOff>
    </xdr:to>
    <xdr:grpSp>
      <xdr:nvGrpSpPr>
        <xdr:cNvPr id="52" name="Группа 51">
          <a:extLst>
            <a:ext uri="{FF2B5EF4-FFF2-40B4-BE49-F238E27FC236}">
              <a16:creationId xmlns:a16="http://schemas.microsoft.com/office/drawing/2014/main" xmlns="" id="{00000000-0008-0000-0600-000056000000}"/>
            </a:ext>
          </a:extLst>
        </xdr:cNvPr>
        <xdr:cNvGrpSpPr/>
      </xdr:nvGrpSpPr>
      <xdr:grpSpPr>
        <a:xfrm>
          <a:off x="342900" y="5248544"/>
          <a:ext cx="283816" cy="343378"/>
          <a:chOff x="342900" y="4529810"/>
          <a:chExt cx="284462" cy="343378"/>
        </a:xfrm>
      </xdr:grpSpPr>
      <xdr:sp macro="" textlink="">
        <xdr:nvSpPr>
          <xdr:cNvPr id="53" name="Овал 52">
            <a:extLst>
              <a:ext uri="{FF2B5EF4-FFF2-40B4-BE49-F238E27FC236}">
                <a16:creationId xmlns:a16="http://schemas.microsoft.com/office/drawing/2014/main" xmlns="" id="{00000000-0008-0000-0600-000037000000}"/>
              </a:ext>
            </a:extLst>
          </xdr:cNvPr>
          <xdr:cNvSpPr/>
        </xdr:nvSpPr>
        <xdr:spPr>
          <a:xfrm>
            <a:off x="342900" y="4529810"/>
            <a:ext cx="284462" cy="281384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54" name="Прямая со стрелкой 53">
            <a:extLst>
              <a:ext uri="{FF2B5EF4-FFF2-40B4-BE49-F238E27FC236}">
                <a16:creationId xmlns:a16="http://schemas.microsoft.com/office/drawing/2014/main" xmlns="" id="{00000000-0008-0000-0600-000038000000}"/>
              </a:ext>
            </a:extLst>
          </xdr:cNvPr>
          <xdr:cNvCxnSpPr/>
        </xdr:nvCxnSpPr>
        <xdr:spPr>
          <a:xfrm flipV="1">
            <a:off x="485879" y="4679145"/>
            <a:ext cx="0" cy="194043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140174</xdr:colOff>
      <xdr:row>17</xdr:row>
      <xdr:rowOff>49749</xdr:rowOff>
    </xdr:from>
    <xdr:to>
      <xdr:col>2</xdr:col>
      <xdr:colOff>439911</xdr:colOff>
      <xdr:row>17</xdr:row>
      <xdr:rowOff>372222</xdr:rowOff>
    </xdr:to>
    <xdr:grpSp>
      <xdr:nvGrpSpPr>
        <xdr:cNvPr id="55" name="Группа 54">
          <a:extLst>
            <a:ext uri="{FF2B5EF4-FFF2-40B4-BE49-F238E27FC236}">
              <a16:creationId xmlns:a16="http://schemas.microsoft.com/office/drawing/2014/main" xmlns="" id="{00000000-0008-0000-0600-000057000000}"/>
            </a:ext>
          </a:extLst>
        </xdr:cNvPr>
        <xdr:cNvGrpSpPr/>
      </xdr:nvGrpSpPr>
      <xdr:grpSpPr>
        <a:xfrm>
          <a:off x="749774" y="5269449"/>
          <a:ext cx="909337" cy="322473"/>
          <a:chOff x="750420" y="4550715"/>
          <a:chExt cx="909983" cy="322473"/>
        </a:xfrm>
      </xdr:grpSpPr>
      <xdr:sp macro="" textlink="">
        <xdr:nvSpPr>
          <xdr:cNvPr id="56" name="Прямоугольник 55">
            <a:extLst>
              <a:ext uri="{FF2B5EF4-FFF2-40B4-BE49-F238E27FC236}">
                <a16:creationId xmlns:a16="http://schemas.microsoft.com/office/drawing/2014/main" xmlns="" id="{00000000-0008-0000-0600-00003A000000}"/>
              </a:ext>
            </a:extLst>
          </xdr:cNvPr>
          <xdr:cNvSpPr/>
        </xdr:nvSpPr>
        <xdr:spPr>
          <a:xfrm>
            <a:off x="750420" y="4550715"/>
            <a:ext cx="909983" cy="256842"/>
          </a:xfrm>
          <a:prstGeom prst="rect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0"/>
          <a:lstStyle/>
          <a:p>
            <a:pPr algn="ctr"/>
            <a:endParaRPr lang="ru-RU" sz="1100" b="1">
              <a:solidFill>
                <a:sysClr val="windowText" lastClr="000000"/>
              </a:solidFill>
            </a:endParaRPr>
          </a:p>
        </xdr:txBody>
      </xdr:sp>
      <xdr:cxnSp macro="">
        <xdr:nvCxnSpPr>
          <xdr:cNvPr id="57" name="Прямая со стрелкой 56">
            <a:extLst>
              <a:ext uri="{FF2B5EF4-FFF2-40B4-BE49-F238E27FC236}">
                <a16:creationId xmlns:a16="http://schemas.microsoft.com/office/drawing/2014/main" xmlns="" id="{00000000-0008-0000-0600-00003B000000}"/>
              </a:ext>
            </a:extLst>
          </xdr:cNvPr>
          <xdr:cNvCxnSpPr/>
        </xdr:nvCxnSpPr>
        <xdr:spPr>
          <a:xfrm flipV="1">
            <a:off x="875632" y="4679145"/>
            <a:ext cx="0" cy="194043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8" name="Прямая со стрелкой 57">
            <a:extLst>
              <a:ext uri="{FF2B5EF4-FFF2-40B4-BE49-F238E27FC236}">
                <a16:creationId xmlns:a16="http://schemas.microsoft.com/office/drawing/2014/main" xmlns="" id="{00000000-0008-0000-0600-00003C000000}"/>
              </a:ext>
            </a:extLst>
          </xdr:cNvPr>
          <xdr:cNvCxnSpPr/>
        </xdr:nvCxnSpPr>
        <xdr:spPr>
          <a:xfrm flipV="1">
            <a:off x="1514694" y="4679145"/>
            <a:ext cx="0" cy="194043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134588</xdr:colOff>
      <xdr:row>18</xdr:row>
      <xdr:rowOff>164050</xdr:rowOff>
    </xdr:from>
    <xdr:to>
      <xdr:col>1</xdr:col>
      <xdr:colOff>515067</xdr:colOff>
      <xdr:row>18</xdr:row>
      <xdr:rowOff>215429</xdr:rowOff>
    </xdr:to>
    <xdr:grpSp>
      <xdr:nvGrpSpPr>
        <xdr:cNvPr id="59" name="Группа 58">
          <a:extLst>
            <a:ext uri="{FF2B5EF4-FFF2-40B4-BE49-F238E27FC236}">
              <a16:creationId xmlns:a16="http://schemas.microsoft.com/office/drawing/2014/main" xmlns="" id="{00000000-0008-0000-0600-000058000000}"/>
            </a:ext>
          </a:extLst>
        </xdr:cNvPr>
        <xdr:cNvGrpSpPr/>
      </xdr:nvGrpSpPr>
      <xdr:grpSpPr>
        <a:xfrm>
          <a:off x="744188" y="5764750"/>
          <a:ext cx="380479" cy="51379"/>
          <a:chOff x="744834" y="5046016"/>
          <a:chExt cx="380479" cy="51379"/>
        </a:xfrm>
      </xdr:grpSpPr>
      <xdr:cxnSp macro="">
        <xdr:nvCxnSpPr>
          <xdr:cNvPr id="60" name="Прямая со стрелкой 59">
            <a:extLst>
              <a:ext uri="{FF2B5EF4-FFF2-40B4-BE49-F238E27FC236}">
                <a16:creationId xmlns:a16="http://schemas.microsoft.com/office/drawing/2014/main" xmlns="" id="{00000000-0008-0000-0600-00003E000000}"/>
              </a:ext>
            </a:extLst>
          </xdr:cNvPr>
          <xdr:cNvCxnSpPr/>
        </xdr:nvCxnSpPr>
        <xdr:spPr>
          <a:xfrm flipH="1">
            <a:off x="797770" y="5076837"/>
            <a:ext cx="116554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61" name="Овал 60">
            <a:extLst>
              <a:ext uri="{FF2B5EF4-FFF2-40B4-BE49-F238E27FC236}">
                <a16:creationId xmlns:a16="http://schemas.microsoft.com/office/drawing/2014/main" xmlns="" id="{00000000-0008-0000-0600-00003F000000}"/>
              </a:ext>
            </a:extLst>
          </xdr:cNvPr>
          <xdr:cNvSpPr/>
        </xdr:nvSpPr>
        <xdr:spPr>
          <a:xfrm>
            <a:off x="744834" y="5046016"/>
            <a:ext cx="46800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">
        <xdr:nvSpPr>
          <xdr:cNvPr id="62" name="Овал 61">
            <a:extLst>
              <a:ext uri="{FF2B5EF4-FFF2-40B4-BE49-F238E27FC236}">
                <a16:creationId xmlns:a16="http://schemas.microsoft.com/office/drawing/2014/main" xmlns="" id="{00000000-0008-0000-0600-000040000000}"/>
              </a:ext>
            </a:extLst>
          </xdr:cNvPr>
          <xdr:cNvSpPr/>
        </xdr:nvSpPr>
        <xdr:spPr>
          <a:xfrm>
            <a:off x="1078513" y="5046016"/>
            <a:ext cx="46800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63" name="Прямая со стрелкой 62">
            <a:extLst>
              <a:ext uri="{FF2B5EF4-FFF2-40B4-BE49-F238E27FC236}">
                <a16:creationId xmlns:a16="http://schemas.microsoft.com/office/drawing/2014/main" xmlns="" id="{00000000-0008-0000-0600-000041000000}"/>
              </a:ext>
            </a:extLst>
          </xdr:cNvPr>
          <xdr:cNvCxnSpPr/>
        </xdr:nvCxnSpPr>
        <xdr:spPr>
          <a:xfrm flipH="1">
            <a:off x="954671" y="5076837"/>
            <a:ext cx="119572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187418</xdr:colOff>
      <xdr:row>19</xdr:row>
      <xdr:rowOff>147970</xdr:rowOff>
    </xdr:from>
    <xdr:to>
      <xdr:col>1</xdr:col>
      <xdr:colOff>484698</xdr:colOff>
      <xdr:row>19</xdr:row>
      <xdr:rowOff>196331</xdr:rowOff>
    </xdr:to>
    <xdr:grpSp>
      <xdr:nvGrpSpPr>
        <xdr:cNvPr id="64" name="Группа 63">
          <a:extLst>
            <a:ext uri="{FF2B5EF4-FFF2-40B4-BE49-F238E27FC236}">
              <a16:creationId xmlns:a16="http://schemas.microsoft.com/office/drawing/2014/main" xmlns="" id="{00000000-0008-0000-0600-000059000000}"/>
            </a:ext>
          </a:extLst>
        </xdr:cNvPr>
        <xdr:cNvGrpSpPr/>
      </xdr:nvGrpSpPr>
      <xdr:grpSpPr>
        <a:xfrm flipH="1">
          <a:off x="797018" y="6129670"/>
          <a:ext cx="297280" cy="48361"/>
          <a:chOff x="797664" y="5410936"/>
          <a:chExt cx="297280" cy="48361"/>
        </a:xfrm>
      </xdr:grpSpPr>
      <xdr:sp macro="" textlink="">
        <xdr:nvSpPr>
          <xdr:cNvPr id="65" name="Овал 64">
            <a:extLst>
              <a:ext uri="{FF2B5EF4-FFF2-40B4-BE49-F238E27FC236}">
                <a16:creationId xmlns:a16="http://schemas.microsoft.com/office/drawing/2014/main" xmlns="" id="{00000000-0008-0000-0600-000043000000}"/>
              </a:ext>
            </a:extLst>
          </xdr:cNvPr>
          <xdr:cNvSpPr/>
        </xdr:nvSpPr>
        <xdr:spPr>
          <a:xfrm>
            <a:off x="1048144" y="5410936"/>
            <a:ext cx="46800" cy="48361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66" name="Прямая со стрелкой 65">
            <a:extLst>
              <a:ext uri="{FF2B5EF4-FFF2-40B4-BE49-F238E27FC236}">
                <a16:creationId xmlns:a16="http://schemas.microsoft.com/office/drawing/2014/main" xmlns="" id="{00000000-0008-0000-0600-000044000000}"/>
              </a:ext>
            </a:extLst>
          </xdr:cNvPr>
          <xdr:cNvCxnSpPr/>
        </xdr:nvCxnSpPr>
        <xdr:spPr>
          <a:xfrm flipH="1">
            <a:off x="797664" y="5438739"/>
            <a:ext cx="246210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273395</xdr:colOff>
      <xdr:row>21</xdr:row>
      <xdr:rowOff>42612</xdr:rowOff>
    </xdr:from>
    <xdr:to>
      <xdr:col>1</xdr:col>
      <xdr:colOff>375949</xdr:colOff>
      <xdr:row>21</xdr:row>
      <xdr:rowOff>340269</xdr:rowOff>
    </xdr:to>
    <xdr:grpSp>
      <xdr:nvGrpSpPr>
        <xdr:cNvPr id="67" name="Группа 66">
          <a:extLst>
            <a:ext uri="{FF2B5EF4-FFF2-40B4-BE49-F238E27FC236}">
              <a16:creationId xmlns:a16="http://schemas.microsoft.com/office/drawing/2014/main" xmlns="" id="{00000000-0008-0000-0600-000045000000}"/>
            </a:ext>
          </a:extLst>
        </xdr:cNvPr>
        <xdr:cNvGrpSpPr/>
      </xdr:nvGrpSpPr>
      <xdr:grpSpPr>
        <a:xfrm>
          <a:off x="882995" y="6786312"/>
          <a:ext cx="102554" cy="297657"/>
          <a:chOff x="635632" y="15053070"/>
          <a:chExt cx="102554" cy="297657"/>
        </a:xfrm>
      </xdr:grpSpPr>
      <xdr:sp macro="" textlink="">
        <xdr:nvSpPr>
          <xdr:cNvPr id="68" name="Прямоугольник 67">
            <a:extLst>
              <a:ext uri="{FF2B5EF4-FFF2-40B4-BE49-F238E27FC236}">
                <a16:creationId xmlns:a16="http://schemas.microsoft.com/office/drawing/2014/main" xmlns="" id="{00000000-0008-0000-0600-000046000000}"/>
              </a:ext>
            </a:extLst>
          </xdr:cNvPr>
          <xdr:cNvSpPr/>
        </xdr:nvSpPr>
        <xdr:spPr>
          <a:xfrm flipH="1">
            <a:off x="635632" y="15053070"/>
            <a:ext cx="102554" cy="297657"/>
          </a:xfrm>
          <a:prstGeom prst="rect">
            <a:avLst/>
          </a:prstGeom>
          <a:solidFill>
            <a:schemeClr val="tx1">
              <a:lumMod val="75000"/>
              <a:lumOff val="2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69" name="Овал 68">
            <a:extLst>
              <a:ext uri="{FF2B5EF4-FFF2-40B4-BE49-F238E27FC236}">
                <a16:creationId xmlns:a16="http://schemas.microsoft.com/office/drawing/2014/main" xmlns="" id="{00000000-0008-0000-0600-000047000000}"/>
              </a:ext>
            </a:extLst>
          </xdr:cNvPr>
          <xdr:cNvSpPr/>
        </xdr:nvSpPr>
        <xdr:spPr>
          <a:xfrm flipH="1">
            <a:off x="650305" y="15069367"/>
            <a:ext cx="73208" cy="73208"/>
          </a:xfrm>
          <a:prstGeom prst="ellipse">
            <a:avLst/>
          </a:prstGeom>
          <a:solidFill>
            <a:srgbClr val="FF000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70" name="Овал 69">
            <a:extLst>
              <a:ext uri="{FF2B5EF4-FFF2-40B4-BE49-F238E27FC236}">
                <a16:creationId xmlns:a16="http://schemas.microsoft.com/office/drawing/2014/main" xmlns="" id="{00000000-0008-0000-0600-000048000000}"/>
              </a:ext>
            </a:extLst>
          </xdr:cNvPr>
          <xdr:cNvSpPr/>
        </xdr:nvSpPr>
        <xdr:spPr>
          <a:xfrm flipH="1">
            <a:off x="650305" y="15165295"/>
            <a:ext cx="73208" cy="73208"/>
          </a:xfrm>
          <a:prstGeom prst="ellipse">
            <a:avLst/>
          </a:prstGeom>
          <a:solidFill>
            <a:srgbClr val="FFFF0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71" name="Овал 70">
            <a:extLst>
              <a:ext uri="{FF2B5EF4-FFF2-40B4-BE49-F238E27FC236}">
                <a16:creationId xmlns:a16="http://schemas.microsoft.com/office/drawing/2014/main" xmlns="" id="{00000000-0008-0000-0600-000049000000}"/>
              </a:ext>
            </a:extLst>
          </xdr:cNvPr>
          <xdr:cNvSpPr/>
        </xdr:nvSpPr>
        <xdr:spPr>
          <a:xfrm flipH="1">
            <a:off x="650305" y="15261223"/>
            <a:ext cx="73208" cy="73208"/>
          </a:xfrm>
          <a:prstGeom prst="ellipse">
            <a:avLst/>
          </a:prstGeom>
          <a:solidFill>
            <a:srgbClr val="00B05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1</xdr:col>
      <xdr:colOff>20878</xdr:colOff>
      <xdr:row>28</xdr:row>
      <xdr:rowOff>250243</xdr:rowOff>
    </xdr:from>
    <xdr:to>
      <xdr:col>1</xdr:col>
      <xdr:colOff>92878</xdr:colOff>
      <xdr:row>28</xdr:row>
      <xdr:rowOff>322243</xdr:rowOff>
    </xdr:to>
    <xdr:sp macro="" textlink="">
      <xdr:nvSpPr>
        <xdr:cNvPr id="72" name="Овал 71">
          <a:extLst>
            <a:ext uri="{FF2B5EF4-FFF2-40B4-BE49-F238E27FC236}">
              <a16:creationId xmlns:a16="http://schemas.microsoft.com/office/drawing/2014/main" xmlns="" id="{00000000-0008-0000-0600-00004A000000}"/>
            </a:ext>
          </a:extLst>
        </xdr:cNvPr>
        <xdr:cNvSpPr/>
      </xdr:nvSpPr>
      <xdr:spPr>
        <a:xfrm>
          <a:off x="630478" y="9175168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535665</xdr:colOff>
      <xdr:row>20</xdr:row>
      <xdr:rowOff>39408</xdr:rowOff>
    </xdr:from>
    <xdr:to>
      <xdr:col>2</xdr:col>
      <xdr:colOff>120601</xdr:colOff>
      <xdr:row>20</xdr:row>
      <xdr:rowOff>311004</xdr:rowOff>
    </xdr:to>
    <xdr:grpSp>
      <xdr:nvGrpSpPr>
        <xdr:cNvPr id="73" name="Группа 72">
          <a:extLst>
            <a:ext uri="{FF2B5EF4-FFF2-40B4-BE49-F238E27FC236}">
              <a16:creationId xmlns:a16="http://schemas.microsoft.com/office/drawing/2014/main" xmlns="" id="{00000000-0008-0000-0600-00005B000000}"/>
            </a:ext>
          </a:extLst>
        </xdr:cNvPr>
        <xdr:cNvGrpSpPr/>
      </xdr:nvGrpSpPr>
      <xdr:grpSpPr>
        <a:xfrm>
          <a:off x="1145265" y="6402108"/>
          <a:ext cx="194536" cy="271596"/>
          <a:chOff x="831586" y="6064374"/>
          <a:chExt cx="194536" cy="271596"/>
        </a:xfrm>
      </xdr:grpSpPr>
      <xdr:sp macro="" textlink="">
        <xdr:nvSpPr>
          <xdr:cNvPr id="74" name="Овал 73">
            <a:extLst>
              <a:ext uri="{FF2B5EF4-FFF2-40B4-BE49-F238E27FC236}">
                <a16:creationId xmlns:a16="http://schemas.microsoft.com/office/drawing/2014/main" xmlns="" id="{00000000-0008-0000-0600-00004C000000}"/>
              </a:ext>
            </a:extLst>
          </xdr:cNvPr>
          <xdr:cNvSpPr/>
        </xdr:nvSpPr>
        <xdr:spPr>
          <a:xfrm>
            <a:off x="874025" y="6227970"/>
            <a:ext cx="108000" cy="10800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75" name="Прямая со стрелкой 74">
            <a:extLst>
              <a:ext uri="{FF2B5EF4-FFF2-40B4-BE49-F238E27FC236}">
                <a16:creationId xmlns:a16="http://schemas.microsoft.com/office/drawing/2014/main" xmlns="" id="{00000000-0008-0000-0600-00004D000000}"/>
              </a:ext>
            </a:extLst>
          </xdr:cNvPr>
          <xdr:cNvCxnSpPr/>
        </xdr:nvCxnSpPr>
        <xdr:spPr>
          <a:xfrm flipH="1">
            <a:off x="831586" y="6127876"/>
            <a:ext cx="194536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76" name="Прямая со стрелкой 75">
            <a:extLst>
              <a:ext uri="{FF2B5EF4-FFF2-40B4-BE49-F238E27FC236}">
                <a16:creationId xmlns:a16="http://schemas.microsoft.com/office/drawing/2014/main" xmlns="" id="{00000000-0008-0000-0600-00004E000000}"/>
              </a:ext>
            </a:extLst>
          </xdr:cNvPr>
          <xdr:cNvCxnSpPr/>
        </xdr:nvCxnSpPr>
        <xdr:spPr>
          <a:xfrm flipV="1">
            <a:off x="928267" y="6064374"/>
            <a:ext cx="0" cy="210261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252358</xdr:colOff>
      <xdr:row>20</xdr:row>
      <xdr:rowOff>70017</xdr:rowOff>
    </xdr:from>
    <xdr:to>
      <xdr:col>1</xdr:col>
      <xdr:colOff>54678</xdr:colOff>
      <xdr:row>20</xdr:row>
      <xdr:rowOff>276996</xdr:rowOff>
    </xdr:to>
    <xdr:grpSp>
      <xdr:nvGrpSpPr>
        <xdr:cNvPr id="77" name="Группа 76">
          <a:extLst>
            <a:ext uri="{FF2B5EF4-FFF2-40B4-BE49-F238E27FC236}">
              <a16:creationId xmlns:a16="http://schemas.microsoft.com/office/drawing/2014/main" xmlns="" id="{00000000-0008-0000-0600-00005A000000}"/>
            </a:ext>
          </a:extLst>
        </xdr:cNvPr>
        <xdr:cNvGrpSpPr/>
      </xdr:nvGrpSpPr>
      <xdr:grpSpPr>
        <a:xfrm>
          <a:off x="252358" y="6432717"/>
          <a:ext cx="411920" cy="206979"/>
          <a:chOff x="719729" y="5704458"/>
          <a:chExt cx="411920" cy="206979"/>
        </a:xfrm>
      </xdr:grpSpPr>
      <xdr:sp macro="" textlink="">
        <xdr:nvSpPr>
          <xdr:cNvPr id="78" name="Прямоугольник 77">
            <a:extLst>
              <a:ext uri="{FF2B5EF4-FFF2-40B4-BE49-F238E27FC236}">
                <a16:creationId xmlns:a16="http://schemas.microsoft.com/office/drawing/2014/main" xmlns="" id="{00000000-0008-0000-0600-000050000000}"/>
              </a:ext>
            </a:extLst>
          </xdr:cNvPr>
          <xdr:cNvSpPr/>
        </xdr:nvSpPr>
        <xdr:spPr>
          <a:xfrm>
            <a:off x="719729" y="5706922"/>
            <a:ext cx="411920" cy="204515"/>
          </a:xfrm>
          <a:prstGeom prst="rect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0"/>
          <a:lstStyle/>
          <a:p>
            <a:pPr algn="ctr"/>
            <a:endParaRPr lang="ru-RU" sz="1100" b="1">
              <a:solidFill>
                <a:sysClr val="windowText" lastClr="000000"/>
              </a:solidFill>
            </a:endParaRPr>
          </a:p>
        </xdr:txBody>
      </xdr:sp>
      <xdr:cxnSp macro="">
        <xdr:nvCxnSpPr>
          <xdr:cNvPr id="79" name="Прямая со стрелкой 78">
            <a:extLst>
              <a:ext uri="{FF2B5EF4-FFF2-40B4-BE49-F238E27FC236}">
                <a16:creationId xmlns:a16="http://schemas.microsoft.com/office/drawing/2014/main" xmlns="" id="{00000000-0008-0000-0600-000051000000}"/>
              </a:ext>
            </a:extLst>
          </xdr:cNvPr>
          <xdr:cNvCxnSpPr/>
        </xdr:nvCxnSpPr>
        <xdr:spPr>
          <a:xfrm flipH="1" flipV="1">
            <a:off x="726052" y="5704458"/>
            <a:ext cx="401038" cy="203727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80" name="Прямая со стрелкой 79">
            <a:extLst>
              <a:ext uri="{FF2B5EF4-FFF2-40B4-BE49-F238E27FC236}">
                <a16:creationId xmlns:a16="http://schemas.microsoft.com/office/drawing/2014/main" xmlns="" id="{00000000-0008-0000-0600-000052000000}"/>
              </a:ext>
            </a:extLst>
          </xdr:cNvPr>
          <xdr:cNvCxnSpPr/>
        </xdr:nvCxnSpPr>
        <xdr:spPr>
          <a:xfrm flipH="1">
            <a:off x="729142" y="5704973"/>
            <a:ext cx="401038" cy="203727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266700</xdr:colOff>
      <xdr:row>10</xdr:row>
      <xdr:rowOff>155652</xdr:rowOff>
    </xdr:from>
    <xdr:to>
      <xdr:col>1</xdr:col>
      <xdr:colOff>338700</xdr:colOff>
      <xdr:row>10</xdr:row>
      <xdr:rowOff>227652</xdr:rowOff>
    </xdr:to>
    <xdr:sp macro="" textlink="">
      <xdr:nvSpPr>
        <xdr:cNvPr id="81" name="5-конечная звезда 80">
          <a:extLst>
            <a:ext uri="{FF2B5EF4-FFF2-40B4-BE49-F238E27FC236}">
              <a16:creationId xmlns:a16="http://schemas.microsoft.com/office/drawing/2014/main" xmlns="" id="{00000000-0008-0000-0600-000053000000}"/>
            </a:ext>
          </a:extLst>
        </xdr:cNvPr>
        <xdr:cNvSpPr/>
      </xdr:nvSpPr>
      <xdr:spPr>
        <a:xfrm>
          <a:off x="876300" y="2708352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313764</xdr:colOff>
      <xdr:row>0</xdr:row>
      <xdr:rowOff>145677</xdr:rowOff>
    </xdr:from>
    <xdr:to>
      <xdr:col>2</xdr:col>
      <xdr:colOff>264537</xdr:colOff>
      <xdr:row>2</xdr:row>
      <xdr:rowOff>121151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764" y="145677"/>
          <a:ext cx="912798" cy="413624"/>
        </a:xfrm>
        <a:prstGeom prst="rect">
          <a:avLst/>
        </a:prstGeom>
      </xdr:spPr>
    </xdr:pic>
    <xdr:clientData/>
  </xdr:twoCellAnchor>
  <xdr:twoCellAnchor>
    <xdr:from>
      <xdr:col>3</xdr:col>
      <xdr:colOff>145675</xdr:colOff>
      <xdr:row>5</xdr:row>
      <xdr:rowOff>135271</xdr:rowOff>
    </xdr:from>
    <xdr:to>
      <xdr:col>5</xdr:col>
      <xdr:colOff>1020768</xdr:colOff>
      <xdr:row>5</xdr:row>
      <xdr:rowOff>506506</xdr:rowOff>
    </xdr:to>
    <xdr:sp macro="" textlink="">
      <xdr:nvSpPr>
        <xdr:cNvPr id="3" name="TextBox 2"/>
        <xdr:cNvSpPr txBox="1"/>
      </xdr:nvSpPr>
      <xdr:spPr>
        <a:xfrm>
          <a:off x="1688725" y="2535571"/>
          <a:ext cx="3837368" cy="3712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600" b="1"/>
            <a:t>просп.</a:t>
          </a:r>
          <a:r>
            <a:rPr lang="ru-RU" sz="1600" b="1" baseline="0"/>
            <a:t> Гагарина</a:t>
          </a:r>
          <a:endParaRPr lang="ru-RU" sz="1600" b="1"/>
        </a:p>
      </xdr:txBody>
    </xdr:sp>
    <xdr:clientData/>
  </xdr:twoCellAnchor>
  <xdr:twoCellAnchor>
    <xdr:from>
      <xdr:col>3</xdr:col>
      <xdr:colOff>1177776</xdr:colOff>
      <xdr:row>5</xdr:row>
      <xdr:rowOff>1086688</xdr:rowOff>
    </xdr:from>
    <xdr:to>
      <xdr:col>3</xdr:col>
      <xdr:colOff>1329866</xdr:colOff>
      <xdr:row>5</xdr:row>
      <xdr:rowOff>1230569</xdr:rowOff>
    </xdr:to>
    <xdr:sp macro="" textlink="">
      <xdr:nvSpPr>
        <xdr:cNvPr id="4" name="Овал 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720826" y="3486988"/>
          <a:ext cx="152090" cy="143881"/>
        </a:xfrm>
        <a:prstGeom prst="ellipse">
          <a:avLst/>
        </a:prstGeom>
        <a:solidFill>
          <a:schemeClr val="tx1"/>
        </a:solidFill>
        <a:ln w="349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134469</xdr:colOff>
      <xdr:row>5</xdr:row>
      <xdr:rowOff>983316</xdr:rowOff>
    </xdr:from>
    <xdr:to>
      <xdr:col>3</xdr:col>
      <xdr:colOff>1042145</xdr:colOff>
      <xdr:row>5</xdr:row>
      <xdr:rowOff>2892701</xdr:rowOff>
    </xdr:to>
    <xdr:sp macro="" textlink="">
      <xdr:nvSpPr>
        <xdr:cNvPr id="5" name="Полилиния 4"/>
        <xdr:cNvSpPr/>
      </xdr:nvSpPr>
      <xdr:spPr>
        <a:xfrm>
          <a:off x="1677519" y="3383616"/>
          <a:ext cx="907676" cy="1909385"/>
        </a:xfrm>
        <a:custGeom>
          <a:avLst/>
          <a:gdLst>
            <a:gd name="connsiteX0" fmla="*/ 0 w 1288676"/>
            <a:gd name="connsiteY0" fmla="*/ 0 h 1445559"/>
            <a:gd name="connsiteX1" fmla="*/ 1288676 w 1288676"/>
            <a:gd name="connsiteY1" fmla="*/ 22412 h 1445559"/>
            <a:gd name="connsiteX2" fmla="*/ 1288676 w 1288676"/>
            <a:gd name="connsiteY2" fmla="*/ 1445559 h 1445559"/>
            <a:gd name="connsiteX0" fmla="*/ 0 w 1288676"/>
            <a:gd name="connsiteY0" fmla="*/ 0 h 1909385"/>
            <a:gd name="connsiteX1" fmla="*/ 1288676 w 1288676"/>
            <a:gd name="connsiteY1" fmla="*/ 22412 h 1909385"/>
            <a:gd name="connsiteX2" fmla="*/ 1288676 w 1288676"/>
            <a:gd name="connsiteY2" fmla="*/ 1909385 h 190938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88676" h="1909385">
              <a:moveTo>
                <a:pt x="0" y="0"/>
              </a:moveTo>
              <a:lnTo>
                <a:pt x="1288676" y="22412"/>
              </a:lnTo>
              <a:lnTo>
                <a:pt x="1288676" y="1909385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1492967</xdr:colOff>
      <xdr:row>5</xdr:row>
      <xdr:rowOff>994523</xdr:rowOff>
    </xdr:from>
    <xdr:to>
      <xdr:col>4</xdr:col>
      <xdr:colOff>932673</xdr:colOff>
      <xdr:row>5</xdr:row>
      <xdr:rowOff>2423029</xdr:rowOff>
    </xdr:to>
    <xdr:sp macro="" textlink="">
      <xdr:nvSpPr>
        <xdr:cNvPr id="6" name="Полилиния 5"/>
        <xdr:cNvSpPr/>
      </xdr:nvSpPr>
      <xdr:spPr>
        <a:xfrm>
          <a:off x="3036017" y="3394823"/>
          <a:ext cx="1020856" cy="1428506"/>
        </a:xfrm>
        <a:custGeom>
          <a:avLst/>
          <a:gdLst>
            <a:gd name="connsiteX0" fmla="*/ 560294 w 1019735"/>
            <a:gd name="connsiteY0" fmla="*/ 1423147 h 1423147"/>
            <a:gd name="connsiteX1" fmla="*/ 560294 w 1019735"/>
            <a:gd name="connsiteY1" fmla="*/ 593912 h 1423147"/>
            <a:gd name="connsiteX2" fmla="*/ 0 w 1019735"/>
            <a:gd name="connsiteY2" fmla="*/ 593912 h 1423147"/>
            <a:gd name="connsiteX3" fmla="*/ 0 w 1019735"/>
            <a:gd name="connsiteY3" fmla="*/ 0 h 1423147"/>
            <a:gd name="connsiteX4" fmla="*/ 1019735 w 1019735"/>
            <a:gd name="connsiteY4" fmla="*/ 0 h 1423147"/>
            <a:gd name="connsiteX5" fmla="*/ 1019735 w 1019735"/>
            <a:gd name="connsiteY5" fmla="*/ 605117 h 1423147"/>
            <a:gd name="connsiteX6" fmla="*/ 952500 w 1019735"/>
            <a:gd name="connsiteY6" fmla="*/ 605117 h 1423147"/>
            <a:gd name="connsiteX7" fmla="*/ 952500 w 1019735"/>
            <a:gd name="connsiteY7" fmla="*/ 1411941 h 1423147"/>
            <a:gd name="connsiteX0" fmla="*/ 560294 w 1019735"/>
            <a:gd name="connsiteY0" fmla="*/ 1423147 h 1423147"/>
            <a:gd name="connsiteX1" fmla="*/ 560294 w 1019735"/>
            <a:gd name="connsiteY1" fmla="*/ 593912 h 1423147"/>
            <a:gd name="connsiteX2" fmla="*/ 0 w 1019735"/>
            <a:gd name="connsiteY2" fmla="*/ 593912 h 1423147"/>
            <a:gd name="connsiteX3" fmla="*/ 0 w 1019735"/>
            <a:gd name="connsiteY3" fmla="*/ 0 h 1423147"/>
            <a:gd name="connsiteX4" fmla="*/ 1019735 w 1019735"/>
            <a:gd name="connsiteY4" fmla="*/ 0 h 1423147"/>
            <a:gd name="connsiteX5" fmla="*/ 1019735 w 1019735"/>
            <a:gd name="connsiteY5" fmla="*/ 605117 h 1423147"/>
            <a:gd name="connsiteX6" fmla="*/ 952500 w 1019735"/>
            <a:gd name="connsiteY6" fmla="*/ 605117 h 1423147"/>
            <a:gd name="connsiteX7" fmla="*/ 952500 w 1019735"/>
            <a:gd name="connsiteY7" fmla="*/ 1411941 h 1423147"/>
            <a:gd name="connsiteX8" fmla="*/ 560294 w 1019735"/>
            <a:gd name="connsiteY8" fmla="*/ 1423147 h 1423147"/>
            <a:gd name="connsiteX0" fmla="*/ 560294 w 1019735"/>
            <a:gd name="connsiteY0" fmla="*/ 1423147 h 1428506"/>
            <a:gd name="connsiteX1" fmla="*/ 560294 w 1019735"/>
            <a:gd name="connsiteY1" fmla="*/ 593912 h 1428506"/>
            <a:gd name="connsiteX2" fmla="*/ 0 w 1019735"/>
            <a:gd name="connsiteY2" fmla="*/ 593912 h 1428506"/>
            <a:gd name="connsiteX3" fmla="*/ 0 w 1019735"/>
            <a:gd name="connsiteY3" fmla="*/ 0 h 1428506"/>
            <a:gd name="connsiteX4" fmla="*/ 1019735 w 1019735"/>
            <a:gd name="connsiteY4" fmla="*/ 0 h 1428506"/>
            <a:gd name="connsiteX5" fmla="*/ 1019735 w 1019735"/>
            <a:gd name="connsiteY5" fmla="*/ 605117 h 1428506"/>
            <a:gd name="connsiteX6" fmla="*/ 952500 w 1019735"/>
            <a:gd name="connsiteY6" fmla="*/ 605117 h 1428506"/>
            <a:gd name="connsiteX7" fmla="*/ 969065 w 1019735"/>
            <a:gd name="connsiteY7" fmla="*/ 1428506 h 1428506"/>
            <a:gd name="connsiteX8" fmla="*/ 560294 w 1019735"/>
            <a:gd name="connsiteY8" fmla="*/ 1423147 h 1428506"/>
            <a:gd name="connsiteX0" fmla="*/ 560294 w 1019735"/>
            <a:gd name="connsiteY0" fmla="*/ 1423147 h 1428506"/>
            <a:gd name="connsiteX1" fmla="*/ 560294 w 1019735"/>
            <a:gd name="connsiteY1" fmla="*/ 593912 h 1428506"/>
            <a:gd name="connsiteX2" fmla="*/ 0 w 1019735"/>
            <a:gd name="connsiteY2" fmla="*/ 593912 h 1428506"/>
            <a:gd name="connsiteX3" fmla="*/ 0 w 1019735"/>
            <a:gd name="connsiteY3" fmla="*/ 0 h 1428506"/>
            <a:gd name="connsiteX4" fmla="*/ 1019735 w 1019735"/>
            <a:gd name="connsiteY4" fmla="*/ 0 h 1428506"/>
            <a:gd name="connsiteX5" fmla="*/ 1019735 w 1019735"/>
            <a:gd name="connsiteY5" fmla="*/ 605117 h 1428506"/>
            <a:gd name="connsiteX6" fmla="*/ 952500 w 1019735"/>
            <a:gd name="connsiteY6" fmla="*/ 605117 h 1428506"/>
            <a:gd name="connsiteX7" fmla="*/ 960782 w 1019735"/>
            <a:gd name="connsiteY7" fmla="*/ 1428506 h 1428506"/>
            <a:gd name="connsiteX8" fmla="*/ 560294 w 1019735"/>
            <a:gd name="connsiteY8" fmla="*/ 1423147 h 14285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1019735" h="1428506">
              <a:moveTo>
                <a:pt x="560294" y="1423147"/>
              </a:moveTo>
              <a:lnTo>
                <a:pt x="560294" y="593912"/>
              </a:lnTo>
              <a:lnTo>
                <a:pt x="0" y="593912"/>
              </a:lnTo>
              <a:lnTo>
                <a:pt x="0" y="0"/>
              </a:lnTo>
              <a:lnTo>
                <a:pt x="1019735" y="0"/>
              </a:lnTo>
              <a:lnTo>
                <a:pt x="1019735" y="605117"/>
              </a:lnTo>
              <a:lnTo>
                <a:pt x="952500" y="605117"/>
              </a:lnTo>
              <a:cubicBezTo>
                <a:pt x="955261" y="879580"/>
                <a:pt x="958021" y="1154043"/>
                <a:pt x="960782" y="1428506"/>
              </a:cubicBezTo>
              <a:lnTo>
                <a:pt x="560294" y="1423147"/>
              </a:lnTo>
              <a:close/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1297726</xdr:colOff>
      <xdr:row>5</xdr:row>
      <xdr:rowOff>1005729</xdr:rowOff>
    </xdr:from>
    <xdr:to>
      <xdr:col>5</xdr:col>
      <xdr:colOff>1044300</xdr:colOff>
      <xdr:row>5</xdr:row>
      <xdr:rowOff>2917063</xdr:rowOff>
    </xdr:to>
    <xdr:sp macro="" textlink="">
      <xdr:nvSpPr>
        <xdr:cNvPr id="7" name="Полилиния 6"/>
        <xdr:cNvSpPr/>
      </xdr:nvSpPr>
      <xdr:spPr>
        <a:xfrm>
          <a:off x="4421926" y="3406029"/>
          <a:ext cx="1127699" cy="1911334"/>
        </a:xfrm>
        <a:custGeom>
          <a:avLst/>
          <a:gdLst>
            <a:gd name="connsiteX0" fmla="*/ 672353 w 1120588"/>
            <a:gd name="connsiteY0" fmla="*/ 1389529 h 1389529"/>
            <a:gd name="connsiteX1" fmla="*/ 504265 w 1120588"/>
            <a:gd name="connsiteY1" fmla="*/ 571500 h 1389529"/>
            <a:gd name="connsiteX2" fmla="*/ 0 w 1120588"/>
            <a:gd name="connsiteY2" fmla="*/ 571500 h 1389529"/>
            <a:gd name="connsiteX3" fmla="*/ 0 w 1120588"/>
            <a:gd name="connsiteY3" fmla="*/ 0 h 1389529"/>
            <a:gd name="connsiteX4" fmla="*/ 1120588 w 1120588"/>
            <a:gd name="connsiteY4" fmla="*/ 0 h 1389529"/>
            <a:gd name="connsiteX0" fmla="*/ 779191 w 1120588"/>
            <a:gd name="connsiteY0" fmla="*/ 1911334 h 1911334"/>
            <a:gd name="connsiteX1" fmla="*/ 504265 w 1120588"/>
            <a:gd name="connsiteY1" fmla="*/ 571500 h 1911334"/>
            <a:gd name="connsiteX2" fmla="*/ 0 w 1120588"/>
            <a:gd name="connsiteY2" fmla="*/ 571500 h 1911334"/>
            <a:gd name="connsiteX3" fmla="*/ 0 w 1120588"/>
            <a:gd name="connsiteY3" fmla="*/ 0 h 1911334"/>
            <a:gd name="connsiteX4" fmla="*/ 1120588 w 1120588"/>
            <a:gd name="connsiteY4" fmla="*/ 0 h 19113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120588" h="1911334">
              <a:moveTo>
                <a:pt x="779191" y="1911334"/>
              </a:moveTo>
              <a:lnTo>
                <a:pt x="504265" y="571500"/>
              </a:lnTo>
              <a:lnTo>
                <a:pt x="0" y="571500"/>
              </a:lnTo>
              <a:lnTo>
                <a:pt x="0" y="0"/>
              </a:lnTo>
              <a:lnTo>
                <a:pt x="1120588" y="0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134469</xdr:colOff>
      <xdr:row>5</xdr:row>
      <xdr:rowOff>77545</xdr:rowOff>
    </xdr:from>
    <xdr:to>
      <xdr:col>5</xdr:col>
      <xdr:colOff>1055506</xdr:colOff>
      <xdr:row>5</xdr:row>
      <xdr:rowOff>123264</xdr:rowOff>
    </xdr:to>
    <xdr:sp macro="" textlink="">
      <xdr:nvSpPr>
        <xdr:cNvPr id="8" name="Полилиния 7"/>
        <xdr:cNvSpPr/>
      </xdr:nvSpPr>
      <xdr:spPr>
        <a:xfrm>
          <a:off x="1677519" y="2477845"/>
          <a:ext cx="3883312" cy="45719"/>
        </a:xfrm>
        <a:custGeom>
          <a:avLst/>
          <a:gdLst>
            <a:gd name="connsiteX0" fmla="*/ 0 w 4247029"/>
            <a:gd name="connsiteY0" fmla="*/ 0 h 0"/>
            <a:gd name="connsiteX1" fmla="*/ 4247029 w 4247029"/>
            <a:gd name="connsiteY1" fmla="*/ 0 h 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247029">
              <a:moveTo>
                <a:pt x="0" y="0"/>
              </a:moveTo>
              <a:lnTo>
                <a:pt x="4247029" y="0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1331865</xdr:colOff>
      <xdr:row>5</xdr:row>
      <xdr:rowOff>1274579</xdr:rowOff>
    </xdr:from>
    <xdr:to>
      <xdr:col>3</xdr:col>
      <xdr:colOff>1331865</xdr:colOff>
      <xdr:row>5</xdr:row>
      <xdr:rowOff>1274579</xdr:rowOff>
    </xdr:to>
    <xdr:cxnSp macro="">
      <xdr:nvCxnSpPr>
        <xdr:cNvPr id="9" name="Прямая соединительная линия 8"/>
        <xdr:cNvCxnSpPr/>
      </xdr:nvCxnSpPr>
      <xdr:spPr>
        <a:xfrm>
          <a:off x="2874915" y="3674879"/>
          <a:ext cx="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1038770</xdr:colOff>
      <xdr:row>5</xdr:row>
      <xdr:rowOff>1139008</xdr:rowOff>
    </xdr:from>
    <xdr:to>
      <xdr:col>3</xdr:col>
      <xdr:colOff>1487562</xdr:colOff>
      <xdr:row>5</xdr:row>
      <xdr:rowOff>1199246</xdr:rowOff>
    </xdr:to>
    <xdr:grpSp>
      <xdr:nvGrpSpPr>
        <xdr:cNvPr id="10" name="Группа 9">
          <a:extLst>
            <a:ext uri="{FF2B5EF4-FFF2-40B4-BE49-F238E27FC236}">
              <a16:creationId xmlns:a16="http://schemas.microsoft.com/office/drawing/2014/main" xmlns="" id="{00000000-0008-0000-0600-000058000000}"/>
            </a:ext>
          </a:extLst>
        </xdr:cNvPr>
        <xdr:cNvGrpSpPr/>
      </xdr:nvGrpSpPr>
      <xdr:grpSpPr>
        <a:xfrm>
          <a:off x="2581820" y="3539308"/>
          <a:ext cx="448792" cy="60238"/>
          <a:chOff x="744834" y="5046016"/>
          <a:chExt cx="380479" cy="51379"/>
        </a:xfrm>
      </xdr:grpSpPr>
      <xdr:cxnSp macro="">
        <xdr:nvCxnSpPr>
          <xdr:cNvPr id="11" name="Прямая со стрелкой 10">
            <a:extLst>
              <a:ext uri="{FF2B5EF4-FFF2-40B4-BE49-F238E27FC236}">
                <a16:creationId xmlns:a16="http://schemas.microsoft.com/office/drawing/2014/main" xmlns="" id="{00000000-0008-0000-0600-00003E000000}"/>
              </a:ext>
            </a:extLst>
          </xdr:cNvPr>
          <xdr:cNvCxnSpPr/>
        </xdr:nvCxnSpPr>
        <xdr:spPr>
          <a:xfrm flipH="1">
            <a:off x="797770" y="5076837"/>
            <a:ext cx="116554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2" name="Овал 11">
            <a:extLst>
              <a:ext uri="{FF2B5EF4-FFF2-40B4-BE49-F238E27FC236}">
                <a16:creationId xmlns:a16="http://schemas.microsoft.com/office/drawing/2014/main" xmlns="" id="{00000000-0008-0000-0600-00003F000000}"/>
              </a:ext>
            </a:extLst>
          </xdr:cNvPr>
          <xdr:cNvSpPr/>
        </xdr:nvSpPr>
        <xdr:spPr>
          <a:xfrm>
            <a:off x="744834" y="5046016"/>
            <a:ext cx="46800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">
        <xdr:nvSpPr>
          <xdr:cNvPr id="13" name="Овал 12">
            <a:extLst>
              <a:ext uri="{FF2B5EF4-FFF2-40B4-BE49-F238E27FC236}">
                <a16:creationId xmlns:a16="http://schemas.microsoft.com/office/drawing/2014/main" xmlns="" id="{00000000-0008-0000-0600-000040000000}"/>
              </a:ext>
            </a:extLst>
          </xdr:cNvPr>
          <xdr:cNvSpPr/>
        </xdr:nvSpPr>
        <xdr:spPr>
          <a:xfrm>
            <a:off x="1078513" y="5046016"/>
            <a:ext cx="46800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14" name="Прямая со стрелкой 13">
            <a:extLst>
              <a:ext uri="{FF2B5EF4-FFF2-40B4-BE49-F238E27FC236}">
                <a16:creationId xmlns:a16="http://schemas.microsoft.com/office/drawing/2014/main" xmlns="" id="{00000000-0008-0000-0600-000041000000}"/>
              </a:ext>
            </a:extLst>
          </xdr:cNvPr>
          <xdr:cNvCxnSpPr/>
        </xdr:nvCxnSpPr>
        <xdr:spPr>
          <a:xfrm flipH="1">
            <a:off x="954671" y="5076837"/>
            <a:ext cx="119572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1181448</xdr:colOff>
      <xdr:row>5</xdr:row>
      <xdr:rowOff>1274579</xdr:rowOff>
    </xdr:from>
    <xdr:to>
      <xdr:col>4</xdr:col>
      <xdr:colOff>1181448</xdr:colOff>
      <xdr:row>5</xdr:row>
      <xdr:rowOff>1274579</xdr:rowOff>
    </xdr:to>
    <xdr:cxnSp macro="">
      <xdr:nvCxnSpPr>
        <xdr:cNvPr id="15" name="Прямая соединительная линия 14"/>
        <xdr:cNvCxnSpPr/>
      </xdr:nvCxnSpPr>
      <xdr:spPr>
        <a:xfrm>
          <a:off x="4305648" y="3674879"/>
          <a:ext cx="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925005</xdr:colOff>
      <xdr:row>5</xdr:row>
      <xdr:rowOff>1147866</xdr:rowOff>
    </xdr:from>
    <xdr:to>
      <xdr:col>4</xdr:col>
      <xdr:colOff>1311949</xdr:colOff>
      <xdr:row>5</xdr:row>
      <xdr:rowOff>1199245</xdr:rowOff>
    </xdr:to>
    <xdr:grpSp>
      <xdr:nvGrpSpPr>
        <xdr:cNvPr id="16" name="Группа 15">
          <a:extLst>
            <a:ext uri="{FF2B5EF4-FFF2-40B4-BE49-F238E27FC236}">
              <a16:creationId xmlns:a16="http://schemas.microsoft.com/office/drawing/2014/main" xmlns="" id="{00000000-0008-0000-0600-000058000000}"/>
            </a:ext>
          </a:extLst>
        </xdr:cNvPr>
        <xdr:cNvGrpSpPr/>
      </xdr:nvGrpSpPr>
      <xdr:grpSpPr>
        <a:xfrm>
          <a:off x="4049205" y="3548166"/>
          <a:ext cx="386944" cy="51379"/>
          <a:chOff x="744834" y="5046016"/>
          <a:chExt cx="380479" cy="51379"/>
        </a:xfrm>
      </xdr:grpSpPr>
      <xdr:cxnSp macro="">
        <xdr:nvCxnSpPr>
          <xdr:cNvPr id="17" name="Прямая со стрелкой 16">
            <a:extLst>
              <a:ext uri="{FF2B5EF4-FFF2-40B4-BE49-F238E27FC236}">
                <a16:creationId xmlns:a16="http://schemas.microsoft.com/office/drawing/2014/main" xmlns="" id="{00000000-0008-0000-0600-00003E000000}"/>
              </a:ext>
            </a:extLst>
          </xdr:cNvPr>
          <xdr:cNvCxnSpPr/>
        </xdr:nvCxnSpPr>
        <xdr:spPr>
          <a:xfrm flipH="1">
            <a:off x="797770" y="5076837"/>
            <a:ext cx="116554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8" name="Овал 17">
            <a:extLst>
              <a:ext uri="{FF2B5EF4-FFF2-40B4-BE49-F238E27FC236}">
                <a16:creationId xmlns:a16="http://schemas.microsoft.com/office/drawing/2014/main" xmlns="" id="{00000000-0008-0000-0600-00003F000000}"/>
              </a:ext>
            </a:extLst>
          </xdr:cNvPr>
          <xdr:cNvSpPr/>
        </xdr:nvSpPr>
        <xdr:spPr>
          <a:xfrm>
            <a:off x="744834" y="5046016"/>
            <a:ext cx="46800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">
        <xdr:nvSpPr>
          <xdr:cNvPr id="19" name="Овал 18">
            <a:extLst>
              <a:ext uri="{FF2B5EF4-FFF2-40B4-BE49-F238E27FC236}">
                <a16:creationId xmlns:a16="http://schemas.microsoft.com/office/drawing/2014/main" xmlns="" id="{00000000-0008-0000-0600-000040000000}"/>
              </a:ext>
            </a:extLst>
          </xdr:cNvPr>
          <xdr:cNvSpPr/>
        </xdr:nvSpPr>
        <xdr:spPr>
          <a:xfrm>
            <a:off x="1078513" y="5046016"/>
            <a:ext cx="46800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20" name="Прямая со стрелкой 19">
            <a:extLst>
              <a:ext uri="{FF2B5EF4-FFF2-40B4-BE49-F238E27FC236}">
                <a16:creationId xmlns:a16="http://schemas.microsoft.com/office/drawing/2014/main" xmlns="" id="{00000000-0008-0000-0600-000041000000}"/>
              </a:ext>
            </a:extLst>
          </xdr:cNvPr>
          <xdr:cNvCxnSpPr/>
        </xdr:nvCxnSpPr>
        <xdr:spPr>
          <a:xfrm flipH="1">
            <a:off x="954671" y="5076837"/>
            <a:ext cx="119572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1255060</xdr:colOff>
      <xdr:row>5</xdr:row>
      <xdr:rowOff>841538</xdr:rowOff>
    </xdr:from>
    <xdr:to>
      <xdr:col>5</xdr:col>
      <xdr:colOff>1028223</xdr:colOff>
      <xdr:row>5</xdr:row>
      <xdr:rowOff>1173048</xdr:rowOff>
    </xdr:to>
    <xdr:sp macro="" textlink="">
      <xdr:nvSpPr>
        <xdr:cNvPr id="21" name="Полилиния 20"/>
        <xdr:cNvSpPr/>
      </xdr:nvSpPr>
      <xdr:spPr>
        <a:xfrm>
          <a:off x="2798110" y="3241838"/>
          <a:ext cx="2735438" cy="331510"/>
        </a:xfrm>
        <a:custGeom>
          <a:avLst/>
          <a:gdLst>
            <a:gd name="connsiteX0" fmla="*/ 0 w 2724979"/>
            <a:gd name="connsiteY0" fmla="*/ 455543 h 455543"/>
            <a:gd name="connsiteX1" fmla="*/ 0 w 2724979"/>
            <a:gd name="connsiteY1" fmla="*/ 0 h 455543"/>
            <a:gd name="connsiteX2" fmla="*/ 2724979 w 2724979"/>
            <a:gd name="connsiteY2" fmla="*/ 0 h 45554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724979" h="455543">
              <a:moveTo>
                <a:pt x="0" y="455543"/>
              </a:moveTo>
              <a:lnTo>
                <a:pt x="0" y="0"/>
              </a:lnTo>
              <a:lnTo>
                <a:pt x="2724979" y="0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1280615</xdr:colOff>
      <xdr:row>5</xdr:row>
      <xdr:rowOff>2711751</xdr:rowOff>
    </xdr:from>
    <xdr:to>
      <xdr:col>5</xdr:col>
      <xdr:colOff>301610</xdr:colOff>
      <xdr:row>5</xdr:row>
      <xdr:rowOff>2931559</xdr:rowOff>
    </xdr:to>
    <xdr:sp macro="" textlink="">
      <xdr:nvSpPr>
        <xdr:cNvPr id="22" name="Прямоугольник 21"/>
        <xdr:cNvSpPr/>
      </xdr:nvSpPr>
      <xdr:spPr>
        <a:xfrm>
          <a:off x="2823665" y="5112051"/>
          <a:ext cx="1983270" cy="219808"/>
        </a:xfrm>
        <a:prstGeom prst="rect">
          <a:avLst/>
        </a:prstGeom>
        <a:solidFill>
          <a:srgbClr val="00B050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 b="1"/>
            <a:t>SKODA</a:t>
          </a:r>
          <a:endParaRPr lang="ru-RU" sz="1400" b="1"/>
        </a:p>
      </xdr:txBody>
    </xdr:sp>
    <xdr:clientData/>
  </xdr:twoCellAnchor>
  <xdr:twoCellAnchor editAs="oneCell">
    <xdr:from>
      <xdr:col>3</xdr:col>
      <xdr:colOff>1537790</xdr:colOff>
      <xdr:row>5</xdr:row>
      <xdr:rowOff>1668555</xdr:rowOff>
    </xdr:from>
    <xdr:to>
      <xdr:col>4</xdr:col>
      <xdr:colOff>407368</xdr:colOff>
      <xdr:row>5</xdr:row>
      <xdr:rowOff>2097180</xdr:rowOff>
    </xdr:to>
    <xdr:pic>
      <xdr:nvPicPr>
        <xdr:cNvPr id="23" name="Рисунок 22" descr="Картинки по запросу знак парковка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0840" y="4068855"/>
          <a:ext cx="450728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1323500</xdr:colOff>
      <xdr:row>5</xdr:row>
      <xdr:rowOff>1668555</xdr:rowOff>
    </xdr:from>
    <xdr:to>
      <xdr:col>5</xdr:col>
      <xdr:colOff>394783</xdr:colOff>
      <xdr:row>5</xdr:row>
      <xdr:rowOff>2097180</xdr:rowOff>
    </xdr:to>
    <xdr:pic>
      <xdr:nvPicPr>
        <xdr:cNvPr id="24" name="Рисунок 23" descr="Картинки по запросу знак парковка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7700" y="4068855"/>
          <a:ext cx="452408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134469</xdr:colOff>
      <xdr:row>5</xdr:row>
      <xdr:rowOff>477595</xdr:rowOff>
    </xdr:from>
    <xdr:to>
      <xdr:col>5</xdr:col>
      <xdr:colOff>1055506</xdr:colOff>
      <xdr:row>5</xdr:row>
      <xdr:rowOff>523314</xdr:rowOff>
    </xdr:to>
    <xdr:sp macro="" textlink="">
      <xdr:nvSpPr>
        <xdr:cNvPr id="25" name="Полилиния 24"/>
        <xdr:cNvSpPr/>
      </xdr:nvSpPr>
      <xdr:spPr>
        <a:xfrm>
          <a:off x="1677519" y="2877895"/>
          <a:ext cx="3883312" cy="45719"/>
        </a:xfrm>
        <a:custGeom>
          <a:avLst/>
          <a:gdLst>
            <a:gd name="connsiteX0" fmla="*/ 0 w 4247029"/>
            <a:gd name="connsiteY0" fmla="*/ 0 h 0"/>
            <a:gd name="connsiteX1" fmla="*/ 4247029 w 4247029"/>
            <a:gd name="connsiteY1" fmla="*/ 0 h 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247029">
              <a:moveTo>
                <a:pt x="0" y="0"/>
              </a:moveTo>
              <a:lnTo>
                <a:pt x="4247029" y="0"/>
              </a:lnTo>
            </a:path>
          </a:pathLst>
        </a:custGeom>
        <a:noFill/>
        <a:ln w="19050" cmpd="dbl">
          <a:solidFill>
            <a:schemeClr val="tx1"/>
          </a:solidFill>
          <a:prstDash val="solid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865877</xdr:colOff>
      <xdr:row>4</xdr:row>
      <xdr:rowOff>67235</xdr:rowOff>
    </xdr:from>
    <xdr:to>
      <xdr:col>3</xdr:col>
      <xdr:colOff>865877</xdr:colOff>
      <xdr:row>4</xdr:row>
      <xdr:rowOff>1356775</xdr:rowOff>
    </xdr:to>
    <xdr:cxnSp macro="">
      <xdr:nvCxnSpPr>
        <xdr:cNvPr id="26" name="Прямая со стрелкой 2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408927" y="943535"/>
          <a:ext cx="0" cy="1289540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824884</xdr:colOff>
      <xdr:row>4</xdr:row>
      <xdr:rowOff>1339079</xdr:rowOff>
    </xdr:from>
    <xdr:to>
      <xdr:col>3</xdr:col>
      <xdr:colOff>896884</xdr:colOff>
      <xdr:row>4</xdr:row>
      <xdr:rowOff>1411079</xdr:rowOff>
    </xdr:to>
    <xdr:sp macro="" textlink="">
      <xdr:nvSpPr>
        <xdr:cNvPr id="27" name="Овал 26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367934" y="2215379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1028355</xdr:colOff>
      <xdr:row>4</xdr:row>
      <xdr:rowOff>717184</xdr:rowOff>
    </xdr:from>
    <xdr:to>
      <xdr:col>3</xdr:col>
      <xdr:colOff>1100355</xdr:colOff>
      <xdr:row>4</xdr:row>
      <xdr:rowOff>789184</xdr:rowOff>
    </xdr:to>
    <xdr:sp macro="" textlink="">
      <xdr:nvSpPr>
        <xdr:cNvPr id="28" name="5-конечная звезда 27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571405" y="1593484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616323</xdr:colOff>
      <xdr:row>4</xdr:row>
      <xdr:rowOff>724511</xdr:rowOff>
    </xdr:from>
    <xdr:to>
      <xdr:col>3</xdr:col>
      <xdr:colOff>688323</xdr:colOff>
      <xdr:row>4</xdr:row>
      <xdr:rowOff>796511</xdr:rowOff>
    </xdr:to>
    <xdr:sp macro="" textlink="">
      <xdr:nvSpPr>
        <xdr:cNvPr id="29" name="5-конечная звезда 28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2159373" y="1600811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1247295</xdr:colOff>
      <xdr:row>4</xdr:row>
      <xdr:rowOff>751841</xdr:rowOff>
    </xdr:from>
    <xdr:to>
      <xdr:col>3</xdr:col>
      <xdr:colOff>1247295</xdr:colOff>
      <xdr:row>4</xdr:row>
      <xdr:rowOff>751841</xdr:rowOff>
    </xdr:to>
    <xdr:cxnSp macro="">
      <xdr:nvCxnSpPr>
        <xdr:cNvPr id="30" name="Прямая соединительная линия 29"/>
        <xdr:cNvCxnSpPr/>
      </xdr:nvCxnSpPr>
      <xdr:spPr>
        <a:xfrm>
          <a:off x="2790345" y="1628141"/>
          <a:ext cx="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537884</xdr:colOff>
      <xdr:row>5</xdr:row>
      <xdr:rowOff>168088</xdr:rowOff>
    </xdr:from>
    <xdr:to>
      <xdr:col>3</xdr:col>
      <xdr:colOff>986119</xdr:colOff>
      <xdr:row>5</xdr:row>
      <xdr:rowOff>885266</xdr:rowOff>
    </xdr:to>
    <xdr:sp macro="" textlink="">
      <xdr:nvSpPr>
        <xdr:cNvPr id="31" name="Прямоугольник 30"/>
        <xdr:cNvSpPr/>
      </xdr:nvSpPr>
      <xdr:spPr>
        <a:xfrm>
          <a:off x="918884" y="2568388"/>
          <a:ext cx="1610285" cy="717178"/>
        </a:xfrm>
        <a:prstGeom prst="rect">
          <a:avLst/>
        </a:prstGeom>
        <a:solidFill>
          <a:srgbClr val="FFFF0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>
              <a:solidFill>
                <a:sysClr val="windowText" lastClr="000000"/>
              </a:solidFill>
            </a:rPr>
            <a:t>СБРОС ОДОМЕТРА ПО ПЕРЕСЕЧЕНИЮ СТВОРА</a:t>
          </a:r>
          <a:r>
            <a:rPr lang="ru-RU" sz="1200" b="1" baseline="0">
              <a:solidFill>
                <a:sysClr val="windowText" lastClr="000000"/>
              </a:solidFill>
            </a:rPr>
            <a:t> ВОРОТ</a:t>
          </a:r>
        </a:p>
      </xdr:txBody>
    </xdr:sp>
    <xdr:clientData/>
  </xdr:twoCellAnchor>
  <xdr:twoCellAnchor editAs="oneCell">
    <xdr:from>
      <xdr:col>4</xdr:col>
      <xdr:colOff>1008529</xdr:colOff>
      <xdr:row>4</xdr:row>
      <xdr:rowOff>201706</xdr:rowOff>
    </xdr:from>
    <xdr:to>
      <xdr:col>5</xdr:col>
      <xdr:colOff>246661</xdr:colOff>
      <xdr:row>4</xdr:row>
      <xdr:rowOff>811359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2729" y="1078006"/>
          <a:ext cx="619257" cy="60965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545087</xdr:colOff>
      <xdr:row>5</xdr:row>
      <xdr:rowOff>312965</xdr:rowOff>
    </xdr:from>
    <xdr:to>
      <xdr:col>3</xdr:col>
      <xdr:colOff>994805</xdr:colOff>
      <xdr:row>5</xdr:row>
      <xdr:rowOff>564965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85175" y="3136847"/>
          <a:ext cx="449718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874058</xdr:colOff>
      <xdr:row>4</xdr:row>
      <xdr:rowOff>773206</xdr:rowOff>
    </xdr:from>
    <xdr:to>
      <xdr:col>2</xdr:col>
      <xdr:colOff>1126502</xdr:colOff>
      <xdr:row>4</xdr:row>
      <xdr:rowOff>1025206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6358" y="2059081"/>
          <a:ext cx="252444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840445</xdr:colOff>
      <xdr:row>8</xdr:row>
      <xdr:rowOff>803632</xdr:rowOff>
    </xdr:from>
    <xdr:to>
      <xdr:col>1</xdr:col>
      <xdr:colOff>1091555</xdr:colOff>
      <xdr:row>8</xdr:row>
      <xdr:rowOff>1055632</xdr:rowOff>
    </xdr:to>
    <xdr:pic>
      <xdr:nvPicPr>
        <xdr:cNvPr id="3" name="Рисунок 2" descr="Картинки по запросу знак поворот направо запрещен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1595" y="8185507"/>
          <a:ext cx="25111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819150</xdr:colOff>
      <xdr:row>7</xdr:row>
      <xdr:rowOff>733425</xdr:rowOff>
    </xdr:from>
    <xdr:to>
      <xdr:col>0</xdr:col>
      <xdr:colOff>1181100</xdr:colOff>
      <xdr:row>7</xdr:row>
      <xdr:rowOff>1095375</xdr:rowOff>
    </xdr:to>
    <xdr:pic>
      <xdr:nvPicPr>
        <xdr:cNvPr id="4" name="Рисунок 3" descr="Картинки по запросу знак конец главной дороги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6591300"/>
          <a:ext cx="36195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776654</xdr:colOff>
      <xdr:row>4</xdr:row>
      <xdr:rowOff>710711</xdr:rowOff>
    </xdr:from>
    <xdr:to>
      <xdr:col>3</xdr:col>
      <xdr:colOff>1171449</xdr:colOff>
      <xdr:row>4</xdr:row>
      <xdr:rowOff>1071472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0104" y="8092586"/>
          <a:ext cx="394795" cy="3607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322854</xdr:colOff>
      <xdr:row>0</xdr:row>
      <xdr:rowOff>111040</xdr:rowOff>
    </xdr:from>
    <xdr:to>
      <xdr:col>0</xdr:col>
      <xdr:colOff>1250222</xdr:colOff>
      <xdr:row>2</xdr:row>
      <xdr:rowOff>106091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54" y="111040"/>
          <a:ext cx="927368" cy="433201"/>
        </a:xfrm>
        <a:prstGeom prst="rect">
          <a:avLst/>
        </a:prstGeom>
      </xdr:spPr>
    </xdr:pic>
    <xdr:clientData/>
  </xdr:twoCellAnchor>
  <xdr:twoCellAnchor>
    <xdr:from>
      <xdr:col>1</xdr:col>
      <xdr:colOff>797676</xdr:colOff>
      <xdr:row>6</xdr:row>
      <xdr:rowOff>1342609</xdr:rowOff>
    </xdr:from>
    <xdr:to>
      <xdr:col>1</xdr:col>
      <xdr:colOff>872989</xdr:colOff>
      <xdr:row>6</xdr:row>
      <xdr:rowOff>1414609</xdr:rowOff>
    </xdr:to>
    <xdr:sp macro="" textlink="">
      <xdr:nvSpPr>
        <xdr:cNvPr id="7" name="Овал 6">
          <a:extLst>
            <a:ext uri="{FF2B5EF4-FFF2-40B4-BE49-F238E27FC236}">
              <a16:creationId xmlns:a16="http://schemas.microsoft.com/office/drawing/2014/main" xmlns="" id="{00000000-0008-0000-0900-00003D020000}"/>
            </a:ext>
          </a:extLst>
        </xdr:cNvPr>
        <xdr:cNvSpPr/>
      </xdr:nvSpPr>
      <xdr:spPr>
        <a:xfrm>
          <a:off x="2378826" y="5676484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827087</xdr:colOff>
      <xdr:row>6</xdr:row>
      <xdr:rowOff>68036</xdr:rowOff>
    </xdr:from>
    <xdr:to>
      <xdr:col>1</xdr:col>
      <xdr:colOff>827087</xdr:colOff>
      <xdr:row>6</xdr:row>
      <xdr:rowOff>1396846</xdr:rowOff>
    </xdr:to>
    <xdr:cxnSp macro="">
      <xdr:nvCxnSpPr>
        <xdr:cNvPr id="8" name="Прямая со стрелкой 7">
          <a:extLst>
            <a:ext uri="{FF2B5EF4-FFF2-40B4-BE49-F238E27FC236}">
              <a16:creationId xmlns:a16="http://schemas.microsoft.com/office/drawing/2014/main" xmlns="" id="{00000000-0008-0000-0900-00003B020000}"/>
            </a:ext>
          </a:extLst>
        </xdr:cNvPr>
        <xdr:cNvCxnSpPr/>
      </xdr:nvCxnSpPr>
      <xdr:spPr>
        <a:xfrm flipV="1">
          <a:off x="2408237" y="4401911"/>
          <a:ext cx="0" cy="1328810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828596</xdr:colOff>
      <xdr:row>6</xdr:row>
      <xdr:rowOff>727834</xdr:rowOff>
    </xdr:from>
    <xdr:to>
      <xdr:col>1</xdr:col>
      <xdr:colOff>1479177</xdr:colOff>
      <xdr:row>6</xdr:row>
      <xdr:rowOff>727834</xdr:rowOff>
    </xdr:to>
    <xdr:cxnSp macro="">
      <xdr:nvCxnSpPr>
        <xdr:cNvPr id="9" name="Прямая со стрелкой 8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>
          <a:off x="2409746" y="5061709"/>
          <a:ext cx="650581" cy="0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896545</xdr:colOff>
      <xdr:row>6</xdr:row>
      <xdr:rowOff>757197</xdr:rowOff>
    </xdr:from>
    <xdr:to>
      <xdr:col>1</xdr:col>
      <xdr:colOff>1050944</xdr:colOff>
      <xdr:row>6</xdr:row>
      <xdr:rowOff>1189915</xdr:rowOff>
    </xdr:to>
    <xdr:grpSp>
      <xdr:nvGrpSpPr>
        <xdr:cNvPr id="10" name="Группа 9">
          <a:extLst>
            <a:ext uri="{FF2B5EF4-FFF2-40B4-BE49-F238E27FC236}">
              <a16:creationId xmlns:a16="http://schemas.microsoft.com/office/drawing/2014/main" xmlns="" id="{00000000-0008-0000-0600-000045000000}"/>
            </a:ext>
          </a:extLst>
        </xdr:cNvPr>
        <xdr:cNvGrpSpPr>
          <a:grpSpLocks noChangeAspect="1"/>
        </xdr:cNvGrpSpPr>
      </xdr:nvGrpSpPr>
      <xdr:grpSpPr>
        <a:xfrm>
          <a:off x="2477695" y="5986422"/>
          <a:ext cx="154399" cy="432718"/>
          <a:chOff x="635632" y="15053070"/>
          <a:chExt cx="102554" cy="297657"/>
        </a:xfrm>
      </xdr:grpSpPr>
      <xdr:sp macro="" textlink="">
        <xdr:nvSpPr>
          <xdr:cNvPr id="11" name="Прямоугольник 10">
            <a:extLst>
              <a:ext uri="{FF2B5EF4-FFF2-40B4-BE49-F238E27FC236}">
                <a16:creationId xmlns:a16="http://schemas.microsoft.com/office/drawing/2014/main" xmlns="" id="{00000000-0008-0000-0600-000046000000}"/>
              </a:ext>
            </a:extLst>
          </xdr:cNvPr>
          <xdr:cNvSpPr/>
        </xdr:nvSpPr>
        <xdr:spPr>
          <a:xfrm flipH="1">
            <a:off x="635632" y="15053070"/>
            <a:ext cx="102554" cy="297657"/>
          </a:xfrm>
          <a:prstGeom prst="rect">
            <a:avLst/>
          </a:prstGeom>
          <a:solidFill>
            <a:schemeClr val="tx1">
              <a:lumMod val="75000"/>
              <a:lumOff val="2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2" name="Овал 11">
            <a:extLst>
              <a:ext uri="{FF2B5EF4-FFF2-40B4-BE49-F238E27FC236}">
                <a16:creationId xmlns:a16="http://schemas.microsoft.com/office/drawing/2014/main" xmlns="" id="{00000000-0008-0000-0600-000047000000}"/>
              </a:ext>
            </a:extLst>
          </xdr:cNvPr>
          <xdr:cNvSpPr/>
        </xdr:nvSpPr>
        <xdr:spPr>
          <a:xfrm flipH="1">
            <a:off x="650305" y="15069367"/>
            <a:ext cx="73208" cy="73208"/>
          </a:xfrm>
          <a:prstGeom prst="ellipse">
            <a:avLst/>
          </a:prstGeom>
          <a:solidFill>
            <a:srgbClr val="FF000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3" name="Овал 12">
            <a:extLst>
              <a:ext uri="{FF2B5EF4-FFF2-40B4-BE49-F238E27FC236}">
                <a16:creationId xmlns:a16="http://schemas.microsoft.com/office/drawing/2014/main" xmlns="" id="{00000000-0008-0000-0600-000048000000}"/>
              </a:ext>
            </a:extLst>
          </xdr:cNvPr>
          <xdr:cNvSpPr/>
        </xdr:nvSpPr>
        <xdr:spPr>
          <a:xfrm flipH="1">
            <a:off x="650305" y="15165295"/>
            <a:ext cx="73208" cy="73208"/>
          </a:xfrm>
          <a:prstGeom prst="ellipse">
            <a:avLst/>
          </a:prstGeom>
          <a:solidFill>
            <a:srgbClr val="FFFF0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4" name="Овал 13">
            <a:extLst>
              <a:ext uri="{FF2B5EF4-FFF2-40B4-BE49-F238E27FC236}">
                <a16:creationId xmlns:a16="http://schemas.microsoft.com/office/drawing/2014/main" xmlns="" id="{00000000-0008-0000-0600-000049000000}"/>
              </a:ext>
            </a:extLst>
          </xdr:cNvPr>
          <xdr:cNvSpPr/>
        </xdr:nvSpPr>
        <xdr:spPr>
          <a:xfrm flipH="1">
            <a:off x="650305" y="15261223"/>
            <a:ext cx="73208" cy="73208"/>
          </a:xfrm>
          <a:prstGeom prst="ellipse">
            <a:avLst/>
          </a:prstGeom>
          <a:solidFill>
            <a:srgbClr val="00B05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0</xdr:col>
      <xdr:colOff>794268</xdr:colOff>
      <xdr:row>4</xdr:row>
      <xdr:rowOff>1392304</xdr:rowOff>
    </xdr:from>
    <xdr:to>
      <xdr:col>0</xdr:col>
      <xdr:colOff>869581</xdr:colOff>
      <xdr:row>4</xdr:row>
      <xdr:rowOff>1464304</xdr:rowOff>
    </xdr:to>
    <xdr:sp macro="" textlink="">
      <xdr:nvSpPr>
        <xdr:cNvPr id="15" name="Овал 14">
          <a:extLst>
            <a:ext uri="{FF2B5EF4-FFF2-40B4-BE49-F238E27FC236}">
              <a16:creationId xmlns:a16="http://schemas.microsoft.com/office/drawing/2014/main" xmlns="" id="{00000000-0008-0000-0900-00003D020000}"/>
            </a:ext>
          </a:extLst>
        </xdr:cNvPr>
        <xdr:cNvSpPr/>
      </xdr:nvSpPr>
      <xdr:spPr>
        <a:xfrm>
          <a:off x="794268" y="2678179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823679</xdr:colOff>
      <xdr:row>4</xdr:row>
      <xdr:rowOff>117731</xdr:rowOff>
    </xdr:from>
    <xdr:to>
      <xdr:col>0</xdr:col>
      <xdr:colOff>823679</xdr:colOff>
      <xdr:row>4</xdr:row>
      <xdr:rowOff>1446541</xdr:rowOff>
    </xdr:to>
    <xdr:cxnSp macro="">
      <xdr:nvCxnSpPr>
        <xdr:cNvPr id="16" name="Прямая со стрелкой 15">
          <a:extLst>
            <a:ext uri="{FF2B5EF4-FFF2-40B4-BE49-F238E27FC236}">
              <a16:creationId xmlns:a16="http://schemas.microsoft.com/office/drawing/2014/main" xmlns="" id="{00000000-0008-0000-0900-00003B020000}"/>
            </a:ext>
          </a:extLst>
        </xdr:cNvPr>
        <xdr:cNvCxnSpPr/>
      </xdr:nvCxnSpPr>
      <xdr:spPr>
        <a:xfrm flipV="1">
          <a:off x="823679" y="1403606"/>
          <a:ext cx="0" cy="1328810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145676</xdr:colOff>
      <xdr:row>4</xdr:row>
      <xdr:rowOff>777529</xdr:rowOff>
    </xdr:from>
    <xdr:to>
      <xdr:col>0</xdr:col>
      <xdr:colOff>818249</xdr:colOff>
      <xdr:row>4</xdr:row>
      <xdr:rowOff>777529</xdr:rowOff>
    </xdr:to>
    <xdr:cxnSp macro="">
      <xdr:nvCxnSpPr>
        <xdr:cNvPr id="17" name="Прямая со стрелкой 16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>
          <a:off x="145676" y="2063404"/>
          <a:ext cx="672573" cy="0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775263</xdr:colOff>
      <xdr:row>4</xdr:row>
      <xdr:rowOff>1353815</xdr:rowOff>
    </xdr:from>
    <xdr:to>
      <xdr:col>3</xdr:col>
      <xdr:colOff>850576</xdr:colOff>
      <xdr:row>4</xdr:row>
      <xdr:rowOff>1425815</xdr:rowOff>
    </xdr:to>
    <xdr:sp macro="" textlink="">
      <xdr:nvSpPr>
        <xdr:cNvPr id="18" name="Овал 17">
          <a:extLst>
            <a:ext uri="{FF2B5EF4-FFF2-40B4-BE49-F238E27FC236}">
              <a16:creationId xmlns:a16="http://schemas.microsoft.com/office/drawing/2014/main" xmlns="" id="{00000000-0008-0000-0900-00003D020000}"/>
            </a:ext>
          </a:extLst>
        </xdr:cNvPr>
        <xdr:cNvSpPr/>
      </xdr:nvSpPr>
      <xdr:spPr>
        <a:xfrm>
          <a:off x="5518713" y="8735690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804674</xdr:colOff>
      <xdr:row>4</xdr:row>
      <xdr:rowOff>79242</xdr:rowOff>
    </xdr:from>
    <xdr:to>
      <xdr:col>3</xdr:col>
      <xdr:colOff>804674</xdr:colOff>
      <xdr:row>4</xdr:row>
      <xdr:rowOff>1408052</xdr:rowOff>
    </xdr:to>
    <xdr:cxnSp macro="">
      <xdr:nvCxnSpPr>
        <xdr:cNvPr id="19" name="Прямая со стрелкой 18">
          <a:extLst>
            <a:ext uri="{FF2B5EF4-FFF2-40B4-BE49-F238E27FC236}">
              <a16:creationId xmlns:a16="http://schemas.microsoft.com/office/drawing/2014/main" xmlns="" id="{00000000-0008-0000-0900-00003B020000}"/>
            </a:ext>
          </a:extLst>
        </xdr:cNvPr>
        <xdr:cNvCxnSpPr/>
      </xdr:nvCxnSpPr>
      <xdr:spPr>
        <a:xfrm flipV="1">
          <a:off x="5548124" y="7461117"/>
          <a:ext cx="0" cy="1328810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66595</xdr:colOff>
      <xdr:row>4</xdr:row>
      <xdr:rowOff>739040</xdr:rowOff>
    </xdr:from>
    <xdr:to>
      <xdr:col>3</xdr:col>
      <xdr:colOff>1501588</xdr:colOff>
      <xdr:row>4</xdr:row>
      <xdr:rowOff>739040</xdr:rowOff>
    </xdr:to>
    <xdr:cxnSp macro="">
      <xdr:nvCxnSpPr>
        <xdr:cNvPr id="20" name="Прямая со стрелкой 19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>
          <a:off x="4810045" y="8120915"/>
          <a:ext cx="1434993" cy="0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786468</xdr:colOff>
      <xdr:row>7</xdr:row>
      <xdr:rowOff>1353815</xdr:rowOff>
    </xdr:from>
    <xdr:to>
      <xdr:col>0</xdr:col>
      <xdr:colOff>861781</xdr:colOff>
      <xdr:row>7</xdr:row>
      <xdr:rowOff>1425815</xdr:rowOff>
    </xdr:to>
    <xdr:sp macro="" textlink="">
      <xdr:nvSpPr>
        <xdr:cNvPr id="21" name="Овал 20">
          <a:extLst>
            <a:ext uri="{FF2B5EF4-FFF2-40B4-BE49-F238E27FC236}">
              <a16:creationId xmlns:a16="http://schemas.microsoft.com/office/drawing/2014/main" xmlns="" id="{00000000-0008-0000-0900-00003D020000}"/>
            </a:ext>
          </a:extLst>
        </xdr:cNvPr>
        <xdr:cNvSpPr/>
      </xdr:nvSpPr>
      <xdr:spPr>
        <a:xfrm>
          <a:off x="786468" y="7211690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815879</xdr:colOff>
      <xdr:row>7</xdr:row>
      <xdr:rowOff>79242</xdr:rowOff>
    </xdr:from>
    <xdr:to>
      <xdr:col>0</xdr:col>
      <xdr:colOff>815879</xdr:colOff>
      <xdr:row>7</xdr:row>
      <xdr:rowOff>1408052</xdr:rowOff>
    </xdr:to>
    <xdr:cxnSp macro="">
      <xdr:nvCxnSpPr>
        <xdr:cNvPr id="22" name="Прямая со стрелкой 21">
          <a:extLst>
            <a:ext uri="{FF2B5EF4-FFF2-40B4-BE49-F238E27FC236}">
              <a16:creationId xmlns:a16="http://schemas.microsoft.com/office/drawing/2014/main" xmlns="" id="{00000000-0008-0000-0900-00003B020000}"/>
            </a:ext>
          </a:extLst>
        </xdr:cNvPr>
        <xdr:cNvCxnSpPr/>
      </xdr:nvCxnSpPr>
      <xdr:spPr>
        <a:xfrm flipV="1">
          <a:off x="815879" y="5937117"/>
          <a:ext cx="0" cy="1328810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77800</xdr:colOff>
      <xdr:row>7</xdr:row>
      <xdr:rowOff>739040</xdr:rowOff>
    </xdr:from>
    <xdr:to>
      <xdr:col>0</xdr:col>
      <xdr:colOff>1512793</xdr:colOff>
      <xdr:row>7</xdr:row>
      <xdr:rowOff>739040</xdr:rowOff>
    </xdr:to>
    <xdr:cxnSp macro="">
      <xdr:nvCxnSpPr>
        <xdr:cNvPr id="23" name="Прямая со стрелкой 22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>
          <a:off x="77800" y="6596915"/>
          <a:ext cx="1434993" cy="0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820087</xdr:colOff>
      <xdr:row>6</xdr:row>
      <xdr:rowOff>1331403</xdr:rowOff>
    </xdr:from>
    <xdr:to>
      <xdr:col>2</xdr:col>
      <xdr:colOff>895400</xdr:colOff>
      <xdr:row>6</xdr:row>
      <xdr:rowOff>1403403</xdr:rowOff>
    </xdr:to>
    <xdr:sp macro="" textlink="">
      <xdr:nvSpPr>
        <xdr:cNvPr id="24" name="Овал 23">
          <a:extLst>
            <a:ext uri="{FF2B5EF4-FFF2-40B4-BE49-F238E27FC236}">
              <a16:creationId xmlns:a16="http://schemas.microsoft.com/office/drawing/2014/main" xmlns="" id="{00000000-0008-0000-0900-00003D020000}"/>
            </a:ext>
          </a:extLst>
        </xdr:cNvPr>
        <xdr:cNvSpPr/>
      </xdr:nvSpPr>
      <xdr:spPr>
        <a:xfrm>
          <a:off x="3982387" y="4141278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849498</xdr:colOff>
      <xdr:row>6</xdr:row>
      <xdr:rowOff>56830</xdr:rowOff>
    </xdr:from>
    <xdr:to>
      <xdr:col>2</xdr:col>
      <xdr:colOff>849498</xdr:colOff>
      <xdr:row>6</xdr:row>
      <xdr:rowOff>1385640</xdr:rowOff>
    </xdr:to>
    <xdr:cxnSp macro="">
      <xdr:nvCxnSpPr>
        <xdr:cNvPr id="25" name="Прямая со стрелкой 24">
          <a:extLst>
            <a:ext uri="{FF2B5EF4-FFF2-40B4-BE49-F238E27FC236}">
              <a16:creationId xmlns:a16="http://schemas.microsoft.com/office/drawing/2014/main" xmlns="" id="{00000000-0008-0000-0900-00003B020000}"/>
            </a:ext>
          </a:extLst>
        </xdr:cNvPr>
        <xdr:cNvCxnSpPr/>
      </xdr:nvCxnSpPr>
      <xdr:spPr>
        <a:xfrm flipV="1">
          <a:off x="4011798" y="2866705"/>
          <a:ext cx="0" cy="1328810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100853</xdr:colOff>
      <xdr:row>6</xdr:row>
      <xdr:rowOff>671804</xdr:rowOff>
    </xdr:from>
    <xdr:to>
      <xdr:col>2</xdr:col>
      <xdr:colOff>851648</xdr:colOff>
      <xdr:row>6</xdr:row>
      <xdr:rowOff>671804</xdr:rowOff>
    </xdr:to>
    <xdr:cxnSp macro="">
      <xdr:nvCxnSpPr>
        <xdr:cNvPr id="26" name="Прямая со стрелкой 25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 flipH="1">
          <a:off x="3260912" y="3495686"/>
          <a:ext cx="750795" cy="0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839801</xdr:colOff>
      <xdr:row>6</xdr:row>
      <xdr:rowOff>761452</xdr:rowOff>
    </xdr:from>
    <xdr:to>
      <xdr:col>2</xdr:col>
      <xdr:colOff>1490382</xdr:colOff>
      <xdr:row>6</xdr:row>
      <xdr:rowOff>761452</xdr:rowOff>
    </xdr:to>
    <xdr:cxnSp macro="">
      <xdr:nvCxnSpPr>
        <xdr:cNvPr id="27" name="Прямая со стрелкой 26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>
          <a:off x="3999860" y="3585334"/>
          <a:ext cx="650581" cy="0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840440</xdr:colOff>
      <xdr:row>4</xdr:row>
      <xdr:rowOff>777529</xdr:rowOff>
    </xdr:from>
    <xdr:to>
      <xdr:col>0</xdr:col>
      <xdr:colOff>1187824</xdr:colOff>
      <xdr:row>4</xdr:row>
      <xdr:rowOff>777529</xdr:rowOff>
    </xdr:to>
    <xdr:cxnSp macro="">
      <xdr:nvCxnSpPr>
        <xdr:cNvPr id="28" name="Прямая со стрелкой 27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>
          <a:off x="840440" y="2063404"/>
          <a:ext cx="347384" cy="0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1177812</xdr:colOff>
      <xdr:row>4</xdr:row>
      <xdr:rowOff>603924</xdr:rowOff>
    </xdr:from>
    <xdr:to>
      <xdr:col>0</xdr:col>
      <xdr:colOff>1226173</xdr:colOff>
      <xdr:row>4</xdr:row>
      <xdr:rowOff>901204</xdr:rowOff>
    </xdr:to>
    <xdr:grpSp>
      <xdr:nvGrpSpPr>
        <xdr:cNvPr id="29" name="Группа 28">
          <a:extLst>
            <a:ext uri="{FF2B5EF4-FFF2-40B4-BE49-F238E27FC236}">
              <a16:creationId xmlns:a16="http://schemas.microsoft.com/office/drawing/2014/main" xmlns="" id="{00000000-0008-0000-0600-000059000000}"/>
            </a:ext>
          </a:extLst>
        </xdr:cNvPr>
        <xdr:cNvGrpSpPr/>
      </xdr:nvGrpSpPr>
      <xdr:grpSpPr>
        <a:xfrm rot="5400000" flipH="1">
          <a:off x="1053353" y="2909608"/>
          <a:ext cx="297280" cy="48361"/>
          <a:chOff x="797664" y="5410936"/>
          <a:chExt cx="297280" cy="48361"/>
        </a:xfrm>
      </xdr:grpSpPr>
      <xdr:sp macro="" textlink="">
        <xdr:nvSpPr>
          <xdr:cNvPr id="30" name="Овал 29">
            <a:extLst>
              <a:ext uri="{FF2B5EF4-FFF2-40B4-BE49-F238E27FC236}">
                <a16:creationId xmlns:a16="http://schemas.microsoft.com/office/drawing/2014/main" xmlns="" id="{00000000-0008-0000-0600-000043000000}"/>
              </a:ext>
            </a:extLst>
          </xdr:cNvPr>
          <xdr:cNvSpPr/>
        </xdr:nvSpPr>
        <xdr:spPr>
          <a:xfrm>
            <a:off x="1048144" y="5410936"/>
            <a:ext cx="46800" cy="48361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31" name="Прямая со стрелкой 30">
            <a:extLst>
              <a:ext uri="{FF2B5EF4-FFF2-40B4-BE49-F238E27FC236}">
                <a16:creationId xmlns:a16="http://schemas.microsoft.com/office/drawing/2014/main" xmlns="" id="{00000000-0008-0000-0600-000044000000}"/>
              </a:ext>
            </a:extLst>
          </xdr:cNvPr>
          <xdr:cNvCxnSpPr/>
        </xdr:nvCxnSpPr>
        <xdr:spPr>
          <a:xfrm flipH="1">
            <a:off x="797664" y="5438739"/>
            <a:ext cx="246210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830037</xdr:colOff>
      <xdr:row>4</xdr:row>
      <xdr:rowOff>807726</xdr:rowOff>
    </xdr:from>
    <xdr:to>
      <xdr:col>0</xdr:col>
      <xdr:colOff>1088666</xdr:colOff>
      <xdr:row>4</xdr:row>
      <xdr:rowOff>1066799</xdr:rowOff>
    </xdr:to>
    <xdr:pic>
      <xdr:nvPicPr>
        <xdr:cNvPr id="32" name="Рисунок 31" descr="Картинки по запросу знак больница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037" y="2093601"/>
          <a:ext cx="258629" cy="2590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842598</xdr:colOff>
      <xdr:row>4</xdr:row>
      <xdr:rowOff>1055075</xdr:rowOff>
    </xdr:from>
    <xdr:to>
      <xdr:col>3</xdr:col>
      <xdr:colOff>1094016</xdr:colOff>
      <xdr:row>4</xdr:row>
      <xdr:rowOff>1307075</xdr:rowOff>
    </xdr:to>
    <xdr:pic>
      <xdr:nvPicPr>
        <xdr:cNvPr id="33" name="Рисунок 32" descr="Картинки по запросу знак движение грузовым запрещено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6048" y="8436950"/>
          <a:ext cx="251418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847725</xdr:colOff>
      <xdr:row>7</xdr:row>
      <xdr:rowOff>1095374</xdr:rowOff>
    </xdr:from>
    <xdr:to>
      <xdr:col>0</xdr:col>
      <xdr:colOff>1130871</xdr:colOff>
      <xdr:row>7</xdr:row>
      <xdr:rowOff>1347374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47725" y="6953249"/>
          <a:ext cx="283146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878604</xdr:colOff>
      <xdr:row>6</xdr:row>
      <xdr:rowOff>801464</xdr:rowOff>
    </xdr:from>
    <xdr:to>
      <xdr:col>2</xdr:col>
      <xdr:colOff>1130692</xdr:colOff>
      <xdr:row>6</xdr:row>
      <xdr:rowOff>1053464</xdr:rowOff>
    </xdr:to>
    <xdr:pic>
      <xdr:nvPicPr>
        <xdr:cNvPr id="35" name="Рисунок 34" descr="Картинки по запросу знак движение запрещено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63" y="3625346"/>
          <a:ext cx="252088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89647</xdr:colOff>
      <xdr:row>8</xdr:row>
      <xdr:rowOff>661147</xdr:rowOff>
    </xdr:from>
    <xdr:to>
      <xdr:col>1</xdr:col>
      <xdr:colOff>800813</xdr:colOff>
      <xdr:row>8</xdr:row>
      <xdr:rowOff>773206</xdr:rowOff>
    </xdr:to>
    <xdr:cxnSp macro="">
      <xdr:nvCxnSpPr>
        <xdr:cNvPr id="39" name="Прямая со стрелкой 38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>
          <a:off x="1670797" y="8043022"/>
          <a:ext cx="711166" cy="112059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778490</xdr:colOff>
      <xdr:row>8</xdr:row>
      <xdr:rowOff>1349839</xdr:rowOff>
    </xdr:from>
    <xdr:to>
      <xdr:col>1</xdr:col>
      <xdr:colOff>850490</xdr:colOff>
      <xdr:row>8</xdr:row>
      <xdr:rowOff>1421839</xdr:rowOff>
    </xdr:to>
    <xdr:sp macro="" textlink="">
      <xdr:nvSpPr>
        <xdr:cNvPr id="40" name="Овал 39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 rot="6648108">
          <a:off x="2359640" y="8731714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813185</xdr:colOff>
      <xdr:row>8</xdr:row>
      <xdr:rowOff>112058</xdr:rowOff>
    </xdr:from>
    <xdr:to>
      <xdr:col>1</xdr:col>
      <xdr:colOff>813185</xdr:colOff>
      <xdr:row>8</xdr:row>
      <xdr:rowOff>1375525</xdr:rowOff>
    </xdr:to>
    <xdr:cxnSp macro="">
      <xdr:nvCxnSpPr>
        <xdr:cNvPr id="41" name="Прямая со стрелкой 40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394335" y="7493933"/>
          <a:ext cx="0" cy="126346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812019</xdr:colOff>
      <xdr:row>8</xdr:row>
      <xdr:rowOff>661147</xdr:rowOff>
    </xdr:from>
    <xdr:to>
      <xdr:col>1</xdr:col>
      <xdr:colOff>1506783</xdr:colOff>
      <xdr:row>8</xdr:row>
      <xdr:rowOff>1042147</xdr:rowOff>
    </xdr:to>
    <xdr:cxnSp macro="">
      <xdr:nvCxnSpPr>
        <xdr:cNvPr id="42" name="Прямая со стрелкой 41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>
          <a:off x="2393169" y="8043022"/>
          <a:ext cx="694764" cy="381000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125666</xdr:colOff>
      <xdr:row>8</xdr:row>
      <xdr:rowOff>829235</xdr:rowOff>
    </xdr:from>
    <xdr:to>
      <xdr:col>1</xdr:col>
      <xdr:colOff>814420</xdr:colOff>
      <xdr:row>8</xdr:row>
      <xdr:rowOff>941294</xdr:rowOff>
    </xdr:to>
    <xdr:cxnSp macro="">
      <xdr:nvCxnSpPr>
        <xdr:cNvPr id="43" name="Прямая со стрелкой 42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>
          <a:off x="1706816" y="8211110"/>
          <a:ext cx="688754" cy="112059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874063</xdr:colOff>
      <xdr:row>6</xdr:row>
      <xdr:rowOff>825891</xdr:rowOff>
    </xdr:from>
    <xdr:to>
      <xdr:col>3</xdr:col>
      <xdr:colOff>1137466</xdr:colOff>
      <xdr:row>6</xdr:row>
      <xdr:rowOff>1077891</xdr:rowOff>
    </xdr:to>
    <xdr:pic>
      <xdr:nvPicPr>
        <xdr:cNvPr id="44" name="Рисунок 43" descr="Картинки по запросу знак искусственная неровность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7513" y="5159766"/>
          <a:ext cx="263403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771856</xdr:colOff>
      <xdr:row>6</xdr:row>
      <xdr:rowOff>1386632</xdr:rowOff>
    </xdr:from>
    <xdr:to>
      <xdr:col>3</xdr:col>
      <xdr:colOff>847169</xdr:colOff>
      <xdr:row>6</xdr:row>
      <xdr:rowOff>1458632</xdr:rowOff>
    </xdr:to>
    <xdr:sp macro="" textlink="">
      <xdr:nvSpPr>
        <xdr:cNvPr id="45" name="Овал 44">
          <a:extLst>
            <a:ext uri="{FF2B5EF4-FFF2-40B4-BE49-F238E27FC236}">
              <a16:creationId xmlns:a16="http://schemas.microsoft.com/office/drawing/2014/main" xmlns="" id="{00000000-0008-0000-0900-00003D020000}"/>
            </a:ext>
          </a:extLst>
        </xdr:cNvPr>
        <xdr:cNvSpPr/>
      </xdr:nvSpPr>
      <xdr:spPr>
        <a:xfrm>
          <a:off x="5515306" y="5720507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801267</xdr:colOff>
      <xdr:row>6</xdr:row>
      <xdr:rowOff>112059</xdr:rowOff>
    </xdr:from>
    <xdr:to>
      <xdr:col>3</xdr:col>
      <xdr:colOff>801267</xdr:colOff>
      <xdr:row>6</xdr:row>
      <xdr:rowOff>1440869</xdr:rowOff>
    </xdr:to>
    <xdr:cxnSp macro="">
      <xdr:nvCxnSpPr>
        <xdr:cNvPr id="46" name="Прямая со стрелкой 45">
          <a:extLst>
            <a:ext uri="{FF2B5EF4-FFF2-40B4-BE49-F238E27FC236}">
              <a16:creationId xmlns:a16="http://schemas.microsoft.com/office/drawing/2014/main" xmlns="" id="{00000000-0008-0000-0900-00003B020000}"/>
            </a:ext>
          </a:extLst>
        </xdr:cNvPr>
        <xdr:cNvCxnSpPr/>
      </xdr:nvCxnSpPr>
      <xdr:spPr>
        <a:xfrm flipV="1">
          <a:off x="5544717" y="4445934"/>
          <a:ext cx="0" cy="1328810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67236</xdr:colOff>
      <xdr:row>6</xdr:row>
      <xdr:rowOff>771857</xdr:rowOff>
    </xdr:from>
    <xdr:to>
      <xdr:col>3</xdr:col>
      <xdr:colOff>807044</xdr:colOff>
      <xdr:row>6</xdr:row>
      <xdr:rowOff>771857</xdr:rowOff>
    </xdr:to>
    <xdr:cxnSp macro="">
      <xdr:nvCxnSpPr>
        <xdr:cNvPr id="47" name="Прямая со стрелкой 46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 flipH="1">
          <a:off x="4807324" y="5119739"/>
          <a:ext cx="739808" cy="0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808880</xdr:colOff>
      <xdr:row>4</xdr:row>
      <xdr:rowOff>1376227</xdr:rowOff>
    </xdr:from>
    <xdr:to>
      <xdr:col>2</xdr:col>
      <xdr:colOff>884193</xdr:colOff>
      <xdr:row>4</xdr:row>
      <xdr:rowOff>1448227</xdr:rowOff>
    </xdr:to>
    <xdr:sp macro="" textlink="">
      <xdr:nvSpPr>
        <xdr:cNvPr id="48" name="Овал 47">
          <a:extLst>
            <a:ext uri="{FF2B5EF4-FFF2-40B4-BE49-F238E27FC236}">
              <a16:creationId xmlns:a16="http://schemas.microsoft.com/office/drawing/2014/main" xmlns="" id="{00000000-0008-0000-0900-00003D020000}"/>
            </a:ext>
          </a:extLst>
        </xdr:cNvPr>
        <xdr:cNvSpPr/>
      </xdr:nvSpPr>
      <xdr:spPr>
        <a:xfrm>
          <a:off x="3971180" y="2662102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838291</xdr:colOff>
      <xdr:row>4</xdr:row>
      <xdr:rowOff>101654</xdr:rowOff>
    </xdr:from>
    <xdr:to>
      <xdr:col>2</xdr:col>
      <xdr:colOff>838291</xdr:colOff>
      <xdr:row>4</xdr:row>
      <xdr:rowOff>1430464</xdr:rowOff>
    </xdr:to>
    <xdr:cxnSp macro="">
      <xdr:nvCxnSpPr>
        <xdr:cNvPr id="49" name="Прямая со стрелкой 48">
          <a:extLst>
            <a:ext uri="{FF2B5EF4-FFF2-40B4-BE49-F238E27FC236}">
              <a16:creationId xmlns:a16="http://schemas.microsoft.com/office/drawing/2014/main" xmlns="" id="{00000000-0008-0000-0900-00003B020000}"/>
            </a:ext>
          </a:extLst>
        </xdr:cNvPr>
        <xdr:cNvCxnSpPr/>
      </xdr:nvCxnSpPr>
      <xdr:spPr>
        <a:xfrm flipV="1">
          <a:off x="4000591" y="1387529"/>
          <a:ext cx="0" cy="1328810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100212</xdr:colOff>
      <xdr:row>4</xdr:row>
      <xdr:rowOff>761452</xdr:rowOff>
    </xdr:from>
    <xdr:to>
      <xdr:col>2</xdr:col>
      <xdr:colOff>1535205</xdr:colOff>
      <xdr:row>4</xdr:row>
      <xdr:rowOff>761452</xdr:rowOff>
    </xdr:to>
    <xdr:cxnSp macro="">
      <xdr:nvCxnSpPr>
        <xdr:cNvPr id="50" name="Прямая со стрелкой 49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>
          <a:off x="3262512" y="2047327"/>
          <a:ext cx="1434993" cy="0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786468</xdr:colOff>
      <xdr:row>7</xdr:row>
      <xdr:rowOff>1376226</xdr:rowOff>
    </xdr:from>
    <xdr:to>
      <xdr:col>3</xdr:col>
      <xdr:colOff>861781</xdr:colOff>
      <xdr:row>7</xdr:row>
      <xdr:rowOff>1448226</xdr:rowOff>
    </xdr:to>
    <xdr:sp macro="" textlink="">
      <xdr:nvSpPr>
        <xdr:cNvPr id="51" name="Овал 50">
          <a:extLst>
            <a:ext uri="{FF2B5EF4-FFF2-40B4-BE49-F238E27FC236}">
              <a16:creationId xmlns:a16="http://schemas.microsoft.com/office/drawing/2014/main" xmlns="" id="{00000000-0008-0000-0900-00003D020000}"/>
            </a:ext>
          </a:extLst>
        </xdr:cNvPr>
        <xdr:cNvSpPr/>
      </xdr:nvSpPr>
      <xdr:spPr>
        <a:xfrm>
          <a:off x="786468" y="4186101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815879</xdr:colOff>
      <xdr:row>7</xdr:row>
      <xdr:rowOff>101653</xdr:rowOff>
    </xdr:from>
    <xdr:to>
      <xdr:col>3</xdr:col>
      <xdr:colOff>815879</xdr:colOff>
      <xdr:row>7</xdr:row>
      <xdr:rowOff>1430463</xdr:rowOff>
    </xdr:to>
    <xdr:cxnSp macro="">
      <xdr:nvCxnSpPr>
        <xdr:cNvPr id="52" name="Прямая со стрелкой 51">
          <a:extLst>
            <a:ext uri="{FF2B5EF4-FFF2-40B4-BE49-F238E27FC236}">
              <a16:creationId xmlns:a16="http://schemas.microsoft.com/office/drawing/2014/main" xmlns="" id="{00000000-0008-0000-0900-00003B020000}"/>
            </a:ext>
          </a:extLst>
        </xdr:cNvPr>
        <xdr:cNvCxnSpPr/>
      </xdr:nvCxnSpPr>
      <xdr:spPr>
        <a:xfrm flipV="1">
          <a:off x="815879" y="2911528"/>
          <a:ext cx="0" cy="1328810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77800</xdr:colOff>
      <xdr:row>7</xdr:row>
      <xdr:rowOff>761451</xdr:rowOff>
    </xdr:from>
    <xdr:to>
      <xdr:col>3</xdr:col>
      <xdr:colOff>1512793</xdr:colOff>
      <xdr:row>7</xdr:row>
      <xdr:rowOff>761451</xdr:rowOff>
    </xdr:to>
    <xdr:cxnSp macro="">
      <xdr:nvCxnSpPr>
        <xdr:cNvPr id="53" name="Прямая со стрелкой 52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>
          <a:off x="77800" y="3571326"/>
          <a:ext cx="1434993" cy="0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775263</xdr:colOff>
      <xdr:row>7</xdr:row>
      <xdr:rowOff>1342609</xdr:rowOff>
    </xdr:from>
    <xdr:to>
      <xdr:col>1</xdr:col>
      <xdr:colOff>850576</xdr:colOff>
      <xdr:row>7</xdr:row>
      <xdr:rowOff>1414609</xdr:rowOff>
    </xdr:to>
    <xdr:sp macro="" textlink="">
      <xdr:nvSpPr>
        <xdr:cNvPr id="59" name="Овал 58">
          <a:extLst>
            <a:ext uri="{FF2B5EF4-FFF2-40B4-BE49-F238E27FC236}">
              <a16:creationId xmlns:a16="http://schemas.microsoft.com/office/drawing/2014/main" xmlns="" id="{00000000-0008-0000-0900-00003D020000}"/>
            </a:ext>
          </a:extLst>
        </xdr:cNvPr>
        <xdr:cNvSpPr/>
      </xdr:nvSpPr>
      <xdr:spPr>
        <a:xfrm>
          <a:off x="3937563" y="7200484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804674</xdr:colOff>
      <xdr:row>7</xdr:row>
      <xdr:rowOff>68036</xdr:rowOff>
    </xdr:from>
    <xdr:to>
      <xdr:col>1</xdr:col>
      <xdr:colOff>804674</xdr:colOff>
      <xdr:row>7</xdr:row>
      <xdr:rowOff>1396846</xdr:rowOff>
    </xdr:to>
    <xdr:cxnSp macro="">
      <xdr:nvCxnSpPr>
        <xdr:cNvPr id="60" name="Прямая со стрелкой 59">
          <a:extLst>
            <a:ext uri="{FF2B5EF4-FFF2-40B4-BE49-F238E27FC236}">
              <a16:creationId xmlns:a16="http://schemas.microsoft.com/office/drawing/2014/main" xmlns="" id="{00000000-0008-0000-0900-00003B020000}"/>
            </a:ext>
          </a:extLst>
        </xdr:cNvPr>
        <xdr:cNvCxnSpPr/>
      </xdr:nvCxnSpPr>
      <xdr:spPr>
        <a:xfrm flipV="1">
          <a:off x="3966974" y="5925911"/>
          <a:ext cx="0" cy="1328810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806183</xdr:colOff>
      <xdr:row>7</xdr:row>
      <xdr:rowOff>727834</xdr:rowOff>
    </xdr:from>
    <xdr:to>
      <xdr:col>1</xdr:col>
      <xdr:colOff>1467970</xdr:colOff>
      <xdr:row>7</xdr:row>
      <xdr:rowOff>773206</xdr:rowOff>
    </xdr:to>
    <xdr:cxnSp macro="">
      <xdr:nvCxnSpPr>
        <xdr:cNvPr id="61" name="Прямая со стрелкой 60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>
          <a:off x="3968483" y="6585709"/>
          <a:ext cx="661787" cy="45372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923428</xdr:colOff>
      <xdr:row>7</xdr:row>
      <xdr:rowOff>980758</xdr:rowOff>
    </xdr:from>
    <xdr:to>
      <xdr:col>1</xdr:col>
      <xdr:colOff>1175516</xdr:colOff>
      <xdr:row>7</xdr:row>
      <xdr:rowOff>1232758</xdr:rowOff>
    </xdr:to>
    <xdr:pic>
      <xdr:nvPicPr>
        <xdr:cNvPr id="62" name="Рисунок 61" descr="Картинки по запросу знак движение запрещено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3457" y="6852640"/>
          <a:ext cx="252088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786468</xdr:colOff>
      <xdr:row>6</xdr:row>
      <xdr:rowOff>1398638</xdr:rowOff>
    </xdr:from>
    <xdr:to>
      <xdr:col>0</xdr:col>
      <xdr:colOff>861781</xdr:colOff>
      <xdr:row>6</xdr:row>
      <xdr:rowOff>1470638</xdr:rowOff>
    </xdr:to>
    <xdr:sp macro="" textlink="">
      <xdr:nvSpPr>
        <xdr:cNvPr id="63" name="Овал 62">
          <a:extLst>
            <a:ext uri="{FF2B5EF4-FFF2-40B4-BE49-F238E27FC236}">
              <a16:creationId xmlns:a16="http://schemas.microsoft.com/office/drawing/2014/main" xmlns="" id="{00000000-0008-0000-0900-00003D020000}"/>
            </a:ext>
          </a:extLst>
        </xdr:cNvPr>
        <xdr:cNvSpPr/>
      </xdr:nvSpPr>
      <xdr:spPr>
        <a:xfrm>
          <a:off x="786468" y="5732513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815879</xdr:colOff>
      <xdr:row>6</xdr:row>
      <xdr:rowOff>124065</xdr:rowOff>
    </xdr:from>
    <xdr:to>
      <xdr:col>0</xdr:col>
      <xdr:colOff>815879</xdr:colOff>
      <xdr:row>6</xdr:row>
      <xdr:rowOff>1452875</xdr:rowOff>
    </xdr:to>
    <xdr:cxnSp macro="">
      <xdr:nvCxnSpPr>
        <xdr:cNvPr id="64" name="Прямая со стрелкой 63">
          <a:extLst>
            <a:ext uri="{FF2B5EF4-FFF2-40B4-BE49-F238E27FC236}">
              <a16:creationId xmlns:a16="http://schemas.microsoft.com/office/drawing/2014/main" xmlns="" id="{00000000-0008-0000-0900-00003B020000}"/>
            </a:ext>
          </a:extLst>
        </xdr:cNvPr>
        <xdr:cNvCxnSpPr/>
      </xdr:nvCxnSpPr>
      <xdr:spPr>
        <a:xfrm flipV="1">
          <a:off x="815879" y="4457940"/>
          <a:ext cx="0" cy="1328810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100853</xdr:colOff>
      <xdr:row>6</xdr:row>
      <xdr:rowOff>459442</xdr:rowOff>
    </xdr:from>
    <xdr:to>
      <xdr:col>0</xdr:col>
      <xdr:colOff>1512794</xdr:colOff>
      <xdr:row>6</xdr:row>
      <xdr:rowOff>1053353</xdr:rowOff>
    </xdr:to>
    <xdr:cxnSp macro="">
      <xdr:nvCxnSpPr>
        <xdr:cNvPr id="65" name="Прямая со стрелкой 64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>
          <a:off x="100853" y="4793317"/>
          <a:ext cx="1411941" cy="593911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847725</xdr:colOff>
      <xdr:row>6</xdr:row>
      <xdr:rowOff>938489</xdr:rowOff>
    </xdr:from>
    <xdr:to>
      <xdr:col>0</xdr:col>
      <xdr:colOff>1130871</xdr:colOff>
      <xdr:row>6</xdr:row>
      <xdr:rowOff>1190489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47725" y="5272364"/>
          <a:ext cx="283146" cy="252000"/>
        </a:xfrm>
        <a:prstGeom prst="rect">
          <a:avLst/>
        </a:prstGeom>
      </xdr:spPr>
    </xdr:pic>
    <xdr:clientData/>
  </xdr:twoCellAnchor>
  <xdr:twoCellAnchor>
    <xdr:from>
      <xdr:col>1</xdr:col>
      <xdr:colOff>808879</xdr:colOff>
      <xdr:row>4</xdr:row>
      <xdr:rowOff>1376227</xdr:rowOff>
    </xdr:from>
    <xdr:to>
      <xdr:col>1</xdr:col>
      <xdr:colOff>884192</xdr:colOff>
      <xdr:row>4</xdr:row>
      <xdr:rowOff>1448227</xdr:rowOff>
    </xdr:to>
    <xdr:sp macro="" textlink="">
      <xdr:nvSpPr>
        <xdr:cNvPr id="71" name="Овал 70">
          <a:extLst>
            <a:ext uri="{FF2B5EF4-FFF2-40B4-BE49-F238E27FC236}">
              <a16:creationId xmlns:a16="http://schemas.microsoft.com/office/drawing/2014/main" xmlns="" id="{00000000-0008-0000-0900-00003D020000}"/>
            </a:ext>
          </a:extLst>
        </xdr:cNvPr>
        <xdr:cNvSpPr/>
      </xdr:nvSpPr>
      <xdr:spPr>
        <a:xfrm>
          <a:off x="2390029" y="2662102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838290</xdr:colOff>
      <xdr:row>4</xdr:row>
      <xdr:rowOff>762000</xdr:rowOff>
    </xdr:from>
    <xdr:to>
      <xdr:col>1</xdr:col>
      <xdr:colOff>838290</xdr:colOff>
      <xdr:row>4</xdr:row>
      <xdr:rowOff>1444071</xdr:rowOff>
    </xdr:to>
    <xdr:cxnSp macro="">
      <xdr:nvCxnSpPr>
        <xdr:cNvPr id="72" name="Прямая со стрелкой 71">
          <a:extLst>
            <a:ext uri="{FF2B5EF4-FFF2-40B4-BE49-F238E27FC236}">
              <a16:creationId xmlns:a16="http://schemas.microsoft.com/office/drawing/2014/main" xmlns="" id="{00000000-0008-0000-0900-00003B020000}"/>
            </a:ext>
          </a:extLst>
        </xdr:cNvPr>
        <xdr:cNvCxnSpPr/>
      </xdr:nvCxnSpPr>
      <xdr:spPr>
        <a:xfrm flipV="1">
          <a:off x="2419440" y="2047875"/>
          <a:ext cx="0" cy="682071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100211</xdr:colOff>
      <xdr:row>4</xdr:row>
      <xdr:rowOff>761452</xdr:rowOff>
    </xdr:from>
    <xdr:to>
      <xdr:col>1</xdr:col>
      <xdr:colOff>1535204</xdr:colOff>
      <xdr:row>4</xdr:row>
      <xdr:rowOff>761452</xdr:rowOff>
    </xdr:to>
    <xdr:cxnSp macro="">
      <xdr:nvCxnSpPr>
        <xdr:cNvPr id="73" name="Прямая со стрелкой 72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>
          <a:off x="1681361" y="2047327"/>
          <a:ext cx="1434993" cy="0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884465</xdr:colOff>
      <xdr:row>4</xdr:row>
      <xdr:rowOff>792090</xdr:rowOff>
    </xdr:from>
    <xdr:to>
      <xdr:col>1</xdr:col>
      <xdr:colOff>1141522</xdr:colOff>
      <xdr:row>4</xdr:row>
      <xdr:rowOff>1044090</xdr:rowOff>
    </xdr:to>
    <xdr:pic>
      <xdr:nvPicPr>
        <xdr:cNvPr id="74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615" y="2077965"/>
          <a:ext cx="257057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838857</xdr:colOff>
      <xdr:row>8</xdr:row>
      <xdr:rowOff>737674</xdr:rowOff>
    </xdr:from>
    <xdr:to>
      <xdr:col>2</xdr:col>
      <xdr:colOff>1200807</xdr:colOff>
      <xdr:row>8</xdr:row>
      <xdr:rowOff>1099624</xdr:rowOff>
    </xdr:to>
    <xdr:pic>
      <xdr:nvPicPr>
        <xdr:cNvPr id="75" name="Рисунок 74" descr="Картинки по запросу знак конец главной дороги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8916" y="8133556"/>
          <a:ext cx="36195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6566</xdr:colOff>
      <xdr:row>8</xdr:row>
      <xdr:rowOff>775140</xdr:rowOff>
    </xdr:from>
    <xdr:to>
      <xdr:col>3</xdr:col>
      <xdr:colOff>1005049</xdr:colOff>
      <xdr:row>10</xdr:row>
      <xdr:rowOff>59123</xdr:rowOff>
    </xdr:to>
    <xdr:sp macro="" textlink="">
      <xdr:nvSpPr>
        <xdr:cNvPr id="76" name="Дуга 75"/>
        <xdr:cNvSpPr/>
      </xdr:nvSpPr>
      <xdr:spPr>
        <a:xfrm>
          <a:off x="4750016" y="9052365"/>
          <a:ext cx="998483" cy="998483"/>
        </a:xfrm>
        <a:prstGeom prst="arc">
          <a:avLst>
            <a:gd name="adj1" fmla="val 16200000"/>
            <a:gd name="adj2" fmla="val 158821"/>
          </a:avLst>
        </a:prstGeom>
        <a:noFill/>
        <a:ln w="19050">
          <a:solidFill>
            <a:schemeClr val="tx1"/>
          </a:solidFill>
          <a:headEnd type="none" w="med" len="lg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761952</xdr:colOff>
      <xdr:row>8</xdr:row>
      <xdr:rowOff>1380419</xdr:rowOff>
    </xdr:from>
    <xdr:to>
      <xdr:col>2</xdr:col>
      <xdr:colOff>837265</xdr:colOff>
      <xdr:row>8</xdr:row>
      <xdr:rowOff>1452419</xdr:rowOff>
    </xdr:to>
    <xdr:sp macro="" textlink="">
      <xdr:nvSpPr>
        <xdr:cNvPr id="77" name="Овал 76">
          <a:extLst>
            <a:ext uri="{FF2B5EF4-FFF2-40B4-BE49-F238E27FC236}">
              <a16:creationId xmlns:a16="http://schemas.microsoft.com/office/drawing/2014/main" xmlns="" id="{00000000-0008-0000-0900-00003D020000}"/>
            </a:ext>
          </a:extLst>
        </xdr:cNvPr>
        <xdr:cNvSpPr/>
      </xdr:nvSpPr>
      <xdr:spPr>
        <a:xfrm>
          <a:off x="3924252" y="8762294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512380</xdr:colOff>
      <xdr:row>8</xdr:row>
      <xdr:rowOff>137948</xdr:rowOff>
    </xdr:from>
    <xdr:to>
      <xdr:col>2</xdr:col>
      <xdr:colOff>794319</xdr:colOff>
      <xdr:row>8</xdr:row>
      <xdr:rowOff>766599</xdr:rowOff>
    </xdr:to>
    <xdr:cxnSp macro="">
      <xdr:nvCxnSpPr>
        <xdr:cNvPr id="78" name="Прямая со стрелкой 77">
          <a:extLst>
            <a:ext uri="{FF2B5EF4-FFF2-40B4-BE49-F238E27FC236}">
              <a16:creationId xmlns:a16="http://schemas.microsoft.com/office/drawing/2014/main" xmlns="" id="{00000000-0008-0000-0900-00003B020000}"/>
            </a:ext>
          </a:extLst>
        </xdr:cNvPr>
        <xdr:cNvCxnSpPr/>
      </xdr:nvCxnSpPr>
      <xdr:spPr>
        <a:xfrm flipH="1" flipV="1">
          <a:off x="3674680" y="7519823"/>
          <a:ext cx="281939" cy="628651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794319</xdr:colOff>
      <xdr:row>8</xdr:row>
      <xdr:rowOff>769554</xdr:rowOff>
    </xdr:from>
    <xdr:to>
      <xdr:col>2</xdr:col>
      <xdr:colOff>794319</xdr:colOff>
      <xdr:row>8</xdr:row>
      <xdr:rowOff>1434656</xdr:rowOff>
    </xdr:to>
    <xdr:cxnSp macro="">
      <xdr:nvCxnSpPr>
        <xdr:cNvPr id="79" name="Прямая со стрелкой 78">
          <a:extLst>
            <a:ext uri="{FF2B5EF4-FFF2-40B4-BE49-F238E27FC236}">
              <a16:creationId xmlns:a16="http://schemas.microsoft.com/office/drawing/2014/main" xmlns="" id="{00000000-0008-0000-0900-00003B020000}"/>
            </a:ext>
          </a:extLst>
        </xdr:cNvPr>
        <xdr:cNvCxnSpPr/>
      </xdr:nvCxnSpPr>
      <xdr:spPr>
        <a:xfrm flipV="1">
          <a:off x="3956619" y="8151429"/>
          <a:ext cx="0" cy="665102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1372911</xdr:colOff>
      <xdr:row>8</xdr:row>
      <xdr:rowOff>374431</xdr:rowOff>
    </xdr:from>
    <xdr:to>
      <xdr:col>2</xdr:col>
      <xdr:colOff>788274</xdr:colOff>
      <xdr:row>8</xdr:row>
      <xdr:rowOff>1372914</xdr:rowOff>
    </xdr:to>
    <xdr:sp macro="" textlink="">
      <xdr:nvSpPr>
        <xdr:cNvPr id="80" name="Дуга 79"/>
        <xdr:cNvSpPr/>
      </xdr:nvSpPr>
      <xdr:spPr>
        <a:xfrm>
          <a:off x="2954061" y="7756306"/>
          <a:ext cx="996513" cy="998483"/>
        </a:xfrm>
        <a:prstGeom prst="arc">
          <a:avLst>
            <a:gd name="adj1" fmla="val 17320598"/>
            <a:gd name="adj2" fmla="val 2931755"/>
          </a:avLst>
        </a:prstGeom>
        <a:noFill/>
        <a:ln w="19050">
          <a:solidFill>
            <a:schemeClr val="tx1"/>
          </a:solidFill>
          <a:headEnd type="triangle" w="med" len="lg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965590</xdr:colOff>
      <xdr:row>8</xdr:row>
      <xdr:rowOff>1262179</xdr:rowOff>
    </xdr:from>
    <xdr:to>
      <xdr:col>3</xdr:col>
      <xdr:colOff>1040903</xdr:colOff>
      <xdr:row>8</xdr:row>
      <xdr:rowOff>1334179</xdr:rowOff>
    </xdr:to>
    <xdr:sp macro="" textlink="">
      <xdr:nvSpPr>
        <xdr:cNvPr id="81" name="Овал 80">
          <a:extLst>
            <a:ext uri="{FF2B5EF4-FFF2-40B4-BE49-F238E27FC236}">
              <a16:creationId xmlns:a16="http://schemas.microsoft.com/office/drawing/2014/main" xmlns="" id="{00000000-0008-0000-0900-00003D020000}"/>
            </a:ext>
          </a:extLst>
        </xdr:cNvPr>
        <xdr:cNvSpPr/>
      </xdr:nvSpPr>
      <xdr:spPr>
        <a:xfrm>
          <a:off x="965590" y="8644054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654290</xdr:colOff>
      <xdr:row>8</xdr:row>
      <xdr:rowOff>275897</xdr:rowOff>
    </xdr:from>
    <xdr:to>
      <xdr:col>3</xdr:col>
      <xdr:colOff>984819</xdr:colOff>
      <xdr:row>8</xdr:row>
      <xdr:rowOff>1114757</xdr:rowOff>
    </xdr:to>
    <xdr:cxnSp macro="">
      <xdr:nvCxnSpPr>
        <xdr:cNvPr id="82" name="Прямая со стрелкой 81">
          <a:extLst>
            <a:ext uri="{FF2B5EF4-FFF2-40B4-BE49-F238E27FC236}">
              <a16:creationId xmlns:a16="http://schemas.microsoft.com/office/drawing/2014/main" xmlns="" id="{00000000-0008-0000-0900-00003B020000}"/>
            </a:ext>
          </a:extLst>
        </xdr:cNvPr>
        <xdr:cNvCxnSpPr/>
      </xdr:nvCxnSpPr>
      <xdr:spPr>
        <a:xfrm flipH="1" flipV="1">
          <a:off x="654290" y="7657772"/>
          <a:ext cx="330529" cy="838860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991387</xdr:colOff>
      <xdr:row>8</xdr:row>
      <xdr:rowOff>1117711</xdr:rowOff>
    </xdr:from>
    <xdr:to>
      <xdr:col>3</xdr:col>
      <xdr:colOff>1412327</xdr:colOff>
      <xdr:row>8</xdr:row>
      <xdr:rowOff>1248106</xdr:rowOff>
    </xdr:to>
    <xdr:cxnSp macro="">
      <xdr:nvCxnSpPr>
        <xdr:cNvPr id="83" name="Прямая со стрелкой 82">
          <a:extLst>
            <a:ext uri="{FF2B5EF4-FFF2-40B4-BE49-F238E27FC236}">
              <a16:creationId xmlns:a16="http://schemas.microsoft.com/office/drawing/2014/main" xmlns="" id="{00000000-0008-0000-0900-00003B020000}"/>
            </a:ext>
          </a:extLst>
        </xdr:cNvPr>
        <xdr:cNvCxnSpPr/>
      </xdr:nvCxnSpPr>
      <xdr:spPr>
        <a:xfrm flipH="1" flipV="1">
          <a:off x="991387" y="8499586"/>
          <a:ext cx="420940" cy="130395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775263</xdr:colOff>
      <xdr:row>5</xdr:row>
      <xdr:rowOff>1360384</xdr:rowOff>
    </xdr:from>
    <xdr:to>
      <xdr:col>1</xdr:col>
      <xdr:colOff>850576</xdr:colOff>
      <xdr:row>5</xdr:row>
      <xdr:rowOff>1432384</xdr:rowOff>
    </xdr:to>
    <xdr:sp macro="" textlink="">
      <xdr:nvSpPr>
        <xdr:cNvPr id="84" name="Овал 83">
          <a:extLst>
            <a:ext uri="{FF2B5EF4-FFF2-40B4-BE49-F238E27FC236}">
              <a16:creationId xmlns:a16="http://schemas.microsoft.com/office/drawing/2014/main" xmlns="" id="{00000000-0008-0000-0900-00003D020000}"/>
            </a:ext>
          </a:extLst>
        </xdr:cNvPr>
        <xdr:cNvSpPr/>
      </xdr:nvSpPr>
      <xdr:spPr>
        <a:xfrm>
          <a:off x="5518713" y="7218259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804674</xdr:colOff>
      <xdr:row>5</xdr:row>
      <xdr:rowOff>85811</xdr:rowOff>
    </xdr:from>
    <xdr:to>
      <xdr:col>1</xdr:col>
      <xdr:colOff>804674</xdr:colOff>
      <xdr:row>5</xdr:row>
      <xdr:rowOff>1414621</xdr:rowOff>
    </xdr:to>
    <xdr:cxnSp macro="">
      <xdr:nvCxnSpPr>
        <xdr:cNvPr id="85" name="Прямая со стрелкой 84">
          <a:extLst>
            <a:ext uri="{FF2B5EF4-FFF2-40B4-BE49-F238E27FC236}">
              <a16:creationId xmlns:a16="http://schemas.microsoft.com/office/drawing/2014/main" xmlns="" id="{00000000-0008-0000-0900-00003B020000}"/>
            </a:ext>
          </a:extLst>
        </xdr:cNvPr>
        <xdr:cNvCxnSpPr/>
      </xdr:nvCxnSpPr>
      <xdr:spPr>
        <a:xfrm flipV="1">
          <a:off x="5548124" y="5943686"/>
          <a:ext cx="0" cy="1328810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98535</xdr:colOff>
      <xdr:row>5</xdr:row>
      <xdr:rowOff>551794</xdr:rowOff>
    </xdr:from>
    <xdr:to>
      <xdr:col>1</xdr:col>
      <xdr:colOff>1451741</xdr:colOff>
      <xdr:row>5</xdr:row>
      <xdr:rowOff>998484</xdr:rowOff>
    </xdr:to>
    <xdr:cxnSp macro="">
      <xdr:nvCxnSpPr>
        <xdr:cNvPr id="86" name="Прямая со стрелкой 85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 flipV="1">
          <a:off x="4841985" y="6409669"/>
          <a:ext cx="1353206" cy="446690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853965</xdr:colOff>
      <xdr:row>5</xdr:row>
      <xdr:rowOff>361293</xdr:rowOff>
    </xdr:from>
    <xdr:to>
      <xdr:col>1</xdr:col>
      <xdr:colOff>1105977</xdr:colOff>
      <xdr:row>5</xdr:row>
      <xdr:rowOff>613293</xdr:rowOff>
    </xdr:to>
    <xdr:pic>
      <xdr:nvPicPr>
        <xdr:cNvPr id="87" name="Рисунок 86" descr="Картинки по запросу знак кирпич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7415" y="6219168"/>
          <a:ext cx="252012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918882</xdr:colOff>
      <xdr:row>6</xdr:row>
      <xdr:rowOff>257186</xdr:rowOff>
    </xdr:from>
    <xdr:to>
      <xdr:col>2</xdr:col>
      <xdr:colOff>1073281</xdr:colOff>
      <xdr:row>6</xdr:row>
      <xdr:rowOff>689904</xdr:rowOff>
    </xdr:to>
    <xdr:grpSp>
      <xdr:nvGrpSpPr>
        <xdr:cNvPr id="92" name="Группа 91">
          <a:extLst>
            <a:ext uri="{FF2B5EF4-FFF2-40B4-BE49-F238E27FC236}">
              <a16:creationId xmlns:a16="http://schemas.microsoft.com/office/drawing/2014/main" xmlns="" id="{00000000-0008-0000-0600-000045000000}"/>
            </a:ext>
          </a:extLst>
        </xdr:cNvPr>
        <xdr:cNvGrpSpPr>
          <a:grpSpLocks noChangeAspect="1"/>
        </xdr:cNvGrpSpPr>
      </xdr:nvGrpSpPr>
      <xdr:grpSpPr>
        <a:xfrm>
          <a:off x="4081182" y="5486411"/>
          <a:ext cx="154399" cy="432718"/>
          <a:chOff x="635632" y="15053070"/>
          <a:chExt cx="102554" cy="297657"/>
        </a:xfrm>
      </xdr:grpSpPr>
      <xdr:sp macro="" textlink="">
        <xdr:nvSpPr>
          <xdr:cNvPr id="93" name="Прямоугольник 92">
            <a:extLst>
              <a:ext uri="{FF2B5EF4-FFF2-40B4-BE49-F238E27FC236}">
                <a16:creationId xmlns:a16="http://schemas.microsoft.com/office/drawing/2014/main" xmlns="" id="{00000000-0008-0000-0600-000046000000}"/>
              </a:ext>
            </a:extLst>
          </xdr:cNvPr>
          <xdr:cNvSpPr/>
        </xdr:nvSpPr>
        <xdr:spPr>
          <a:xfrm flipH="1">
            <a:off x="635632" y="15053070"/>
            <a:ext cx="102554" cy="297657"/>
          </a:xfrm>
          <a:prstGeom prst="rect">
            <a:avLst/>
          </a:prstGeom>
          <a:solidFill>
            <a:schemeClr val="tx1">
              <a:lumMod val="75000"/>
              <a:lumOff val="2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94" name="Овал 93">
            <a:extLst>
              <a:ext uri="{FF2B5EF4-FFF2-40B4-BE49-F238E27FC236}">
                <a16:creationId xmlns:a16="http://schemas.microsoft.com/office/drawing/2014/main" xmlns="" id="{00000000-0008-0000-0600-000047000000}"/>
              </a:ext>
            </a:extLst>
          </xdr:cNvPr>
          <xdr:cNvSpPr/>
        </xdr:nvSpPr>
        <xdr:spPr>
          <a:xfrm flipH="1">
            <a:off x="650305" y="15069367"/>
            <a:ext cx="73208" cy="73208"/>
          </a:xfrm>
          <a:prstGeom prst="ellipse">
            <a:avLst/>
          </a:prstGeom>
          <a:solidFill>
            <a:srgbClr val="FF000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95" name="Овал 94">
            <a:extLst>
              <a:ext uri="{FF2B5EF4-FFF2-40B4-BE49-F238E27FC236}">
                <a16:creationId xmlns:a16="http://schemas.microsoft.com/office/drawing/2014/main" xmlns="" id="{00000000-0008-0000-0600-000048000000}"/>
              </a:ext>
            </a:extLst>
          </xdr:cNvPr>
          <xdr:cNvSpPr/>
        </xdr:nvSpPr>
        <xdr:spPr>
          <a:xfrm flipH="1">
            <a:off x="650305" y="15165295"/>
            <a:ext cx="73208" cy="73208"/>
          </a:xfrm>
          <a:prstGeom prst="ellipse">
            <a:avLst/>
          </a:prstGeom>
          <a:solidFill>
            <a:srgbClr val="FFFF0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96" name="Овал 95">
            <a:extLst>
              <a:ext uri="{FF2B5EF4-FFF2-40B4-BE49-F238E27FC236}">
                <a16:creationId xmlns:a16="http://schemas.microsoft.com/office/drawing/2014/main" xmlns="" id="{00000000-0008-0000-0600-000049000000}"/>
              </a:ext>
            </a:extLst>
          </xdr:cNvPr>
          <xdr:cNvSpPr/>
        </xdr:nvSpPr>
        <xdr:spPr>
          <a:xfrm flipH="1">
            <a:off x="650305" y="15261223"/>
            <a:ext cx="73208" cy="73208"/>
          </a:xfrm>
          <a:prstGeom prst="ellipse">
            <a:avLst/>
          </a:prstGeom>
          <a:solidFill>
            <a:srgbClr val="00B05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 editAs="oneCell">
    <xdr:from>
      <xdr:col>3</xdr:col>
      <xdr:colOff>829235</xdr:colOff>
      <xdr:row>7</xdr:row>
      <xdr:rowOff>795618</xdr:rowOff>
    </xdr:from>
    <xdr:to>
      <xdr:col>3</xdr:col>
      <xdr:colOff>1400092</xdr:colOff>
      <xdr:row>7</xdr:row>
      <xdr:rowOff>1047618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29235" y="3619500"/>
          <a:ext cx="570857" cy="252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1094175</xdr:colOff>
      <xdr:row>5</xdr:row>
      <xdr:rowOff>312965</xdr:rowOff>
    </xdr:from>
    <xdr:to>
      <xdr:col>3</xdr:col>
      <xdr:colOff>1543893</xdr:colOff>
      <xdr:row>5</xdr:row>
      <xdr:rowOff>564965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34263" y="3136847"/>
          <a:ext cx="449718" cy="252000"/>
        </a:xfrm>
        <a:prstGeom prst="rect">
          <a:avLst/>
        </a:prstGeom>
      </xdr:spPr>
    </xdr:pic>
    <xdr:clientData/>
  </xdr:twoCellAnchor>
  <xdr:twoCellAnchor>
    <xdr:from>
      <xdr:col>3</xdr:col>
      <xdr:colOff>369794</xdr:colOff>
      <xdr:row>5</xdr:row>
      <xdr:rowOff>123265</xdr:rowOff>
    </xdr:from>
    <xdr:to>
      <xdr:col>3</xdr:col>
      <xdr:colOff>814163</xdr:colOff>
      <xdr:row>5</xdr:row>
      <xdr:rowOff>1217008</xdr:rowOff>
    </xdr:to>
    <xdr:cxnSp macro="">
      <xdr:nvCxnSpPr>
        <xdr:cNvPr id="99" name="Прямая со стрелкой 98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 flipV="1">
          <a:off x="5109882" y="2947147"/>
          <a:ext cx="444369" cy="1093743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782815</xdr:colOff>
      <xdr:row>5</xdr:row>
      <xdr:rowOff>1377189</xdr:rowOff>
    </xdr:from>
    <xdr:to>
      <xdr:col>3</xdr:col>
      <xdr:colOff>854815</xdr:colOff>
      <xdr:row>5</xdr:row>
      <xdr:rowOff>1449189</xdr:rowOff>
    </xdr:to>
    <xdr:sp macro="" textlink="">
      <xdr:nvSpPr>
        <xdr:cNvPr id="100" name="Овал 99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 rot="6648108">
          <a:off x="5522903" y="4201071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818796</xdr:colOff>
      <xdr:row>5</xdr:row>
      <xdr:rowOff>112059</xdr:rowOff>
    </xdr:from>
    <xdr:to>
      <xdr:col>3</xdr:col>
      <xdr:colOff>1176618</xdr:colOff>
      <xdr:row>5</xdr:row>
      <xdr:rowOff>1215962</xdr:rowOff>
    </xdr:to>
    <xdr:cxnSp macro="">
      <xdr:nvCxnSpPr>
        <xdr:cNvPr id="101" name="Прямая со стрелкой 100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5558884" y="2935941"/>
          <a:ext cx="357822" cy="1103903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821486</xdr:colOff>
      <xdr:row>5</xdr:row>
      <xdr:rowOff>1190841</xdr:rowOff>
    </xdr:from>
    <xdr:to>
      <xdr:col>3</xdr:col>
      <xdr:colOff>821486</xdr:colOff>
      <xdr:row>5</xdr:row>
      <xdr:rowOff>1396846</xdr:rowOff>
    </xdr:to>
    <xdr:cxnSp macro="">
      <xdr:nvCxnSpPr>
        <xdr:cNvPr id="102" name="Прямая со стрелкой 101">
          <a:extLst>
            <a:ext uri="{FF2B5EF4-FFF2-40B4-BE49-F238E27FC236}">
              <a16:creationId xmlns:a16="http://schemas.microsoft.com/office/drawing/2014/main" xmlns="" id="{00000000-0008-0000-0900-00003B020000}"/>
            </a:ext>
          </a:extLst>
        </xdr:cNvPr>
        <xdr:cNvCxnSpPr/>
      </xdr:nvCxnSpPr>
      <xdr:spPr>
        <a:xfrm flipV="1">
          <a:off x="5561574" y="4014723"/>
          <a:ext cx="0" cy="206005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829235</xdr:colOff>
      <xdr:row>6</xdr:row>
      <xdr:rowOff>777529</xdr:rowOff>
    </xdr:from>
    <xdr:to>
      <xdr:col>3</xdr:col>
      <xdr:colOff>1479177</xdr:colOff>
      <xdr:row>6</xdr:row>
      <xdr:rowOff>777529</xdr:rowOff>
    </xdr:to>
    <xdr:cxnSp macro="">
      <xdr:nvCxnSpPr>
        <xdr:cNvPr id="104" name="Прямая со стрелкой 103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>
          <a:off x="5569323" y="5125411"/>
          <a:ext cx="649942" cy="0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795617</xdr:colOff>
      <xdr:row>8</xdr:row>
      <xdr:rowOff>493059</xdr:rowOff>
    </xdr:from>
    <xdr:to>
      <xdr:col>2</xdr:col>
      <xdr:colOff>1285957</xdr:colOff>
      <xdr:row>8</xdr:row>
      <xdr:rowOff>761452</xdr:rowOff>
    </xdr:to>
    <xdr:cxnSp macro="">
      <xdr:nvCxnSpPr>
        <xdr:cNvPr id="106" name="Прямая со стрелкой 105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 flipV="1">
          <a:off x="3955676" y="7888941"/>
          <a:ext cx="490340" cy="268393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889828</xdr:colOff>
      <xdr:row>8</xdr:row>
      <xdr:rowOff>1140195</xdr:rowOff>
    </xdr:from>
    <xdr:to>
      <xdr:col>2</xdr:col>
      <xdr:colOff>1172974</xdr:colOff>
      <xdr:row>8</xdr:row>
      <xdr:rowOff>1392195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049887" y="8536077"/>
          <a:ext cx="283146" cy="252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896474</xdr:colOff>
      <xdr:row>7</xdr:row>
      <xdr:rowOff>1232646</xdr:rowOff>
    </xdr:from>
    <xdr:to>
      <xdr:col>1</xdr:col>
      <xdr:colOff>1206242</xdr:colOff>
      <xdr:row>7</xdr:row>
      <xdr:rowOff>1412646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476503" y="7104528"/>
          <a:ext cx="309768" cy="180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976595</xdr:colOff>
      <xdr:row>7</xdr:row>
      <xdr:rowOff>73157</xdr:rowOff>
    </xdr:from>
    <xdr:ext cx="614775" cy="609653"/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0795" y="5521457"/>
          <a:ext cx="614775" cy="609653"/>
        </a:xfrm>
        <a:prstGeom prst="rect">
          <a:avLst/>
        </a:prstGeom>
        <a:ln w="19050">
          <a:noFill/>
        </a:ln>
      </xdr:spPr>
    </xdr:pic>
    <xdr:clientData/>
  </xdr:oneCellAnchor>
  <xdr:twoCellAnchor>
    <xdr:from>
      <xdr:col>3</xdr:col>
      <xdr:colOff>798853</xdr:colOff>
      <xdr:row>10</xdr:row>
      <xdr:rowOff>49586</xdr:rowOff>
    </xdr:from>
    <xdr:to>
      <xdr:col>3</xdr:col>
      <xdr:colOff>798853</xdr:colOff>
      <xdr:row>10</xdr:row>
      <xdr:rowOff>1375518</xdr:rowOff>
    </xdr:to>
    <xdr:cxnSp macro="">
      <xdr:nvCxnSpPr>
        <xdr:cNvPr id="3" name="Прямая со стрелкой 2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 flipV="1">
          <a:off x="2341903" y="10069886"/>
          <a:ext cx="0" cy="1325932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756620</xdr:colOff>
      <xdr:row>10</xdr:row>
      <xdr:rowOff>1345755</xdr:rowOff>
    </xdr:from>
    <xdr:to>
      <xdr:col>3</xdr:col>
      <xdr:colOff>828620</xdr:colOff>
      <xdr:row>10</xdr:row>
      <xdr:rowOff>1417755</xdr:rowOff>
    </xdr:to>
    <xdr:sp macro="" textlink="">
      <xdr:nvSpPr>
        <xdr:cNvPr id="4" name="Овал 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299670" y="11366055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798853</xdr:colOff>
      <xdr:row>11</xdr:row>
      <xdr:rowOff>63193</xdr:rowOff>
    </xdr:from>
    <xdr:to>
      <xdr:col>3</xdr:col>
      <xdr:colOff>798853</xdr:colOff>
      <xdr:row>11</xdr:row>
      <xdr:rowOff>1389125</xdr:rowOff>
    </xdr:to>
    <xdr:cxnSp macro="">
      <xdr:nvCxnSpPr>
        <xdr:cNvPr id="5" name="Прямая со стрелкой 4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 flipV="1">
          <a:off x="2341903" y="11607493"/>
          <a:ext cx="0" cy="1325932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756620</xdr:colOff>
      <xdr:row>11</xdr:row>
      <xdr:rowOff>1359362</xdr:rowOff>
    </xdr:from>
    <xdr:to>
      <xdr:col>3</xdr:col>
      <xdr:colOff>828620</xdr:colOff>
      <xdr:row>11</xdr:row>
      <xdr:rowOff>1431362</xdr:rowOff>
    </xdr:to>
    <xdr:sp macro="" textlink="">
      <xdr:nvSpPr>
        <xdr:cNvPr id="6" name="Овал 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299670" y="1290366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4</xdr:col>
      <xdr:colOff>904875</xdr:colOff>
      <xdr:row>13</xdr:row>
      <xdr:rowOff>56975</xdr:rowOff>
    </xdr:from>
    <xdr:ext cx="609653" cy="609653"/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9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9075" y="14649275"/>
          <a:ext cx="609653" cy="609653"/>
        </a:xfrm>
        <a:prstGeom prst="rect">
          <a:avLst/>
        </a:prstGeom>
        <a:ln w="19050">
          <a:noFill/>
        </a:ln>
      </xdr:spPr>
    </xdr:pic>
    <xdr:clientData/>
  </xdr:oneCellAnchor>
  <xdr:twoCellAnchor>
    <xdr:from>
      <xdr:col>3</xdr:col>
      <xdr:colOff>806549</xdr:colOff>
      <xdr:row>10</xdr:row>
      <xdr:rowOff>41413</xdr:rowOff>
    </xdr:from>
    <xdr:to>
      <xdr:col>3</xdr:col>
      <xdr:colOff>924694</xdr:colOff>
      <xdr:row>10</xdr:row>
      <xdr:rowOff>1016396</xdr:rowOff>
    </xdr:to>
    <xdr:cxnSp macro="">
      <xdr:nvCxnSpPr>
        <xdr:cNvPr id="8" name="Прямая соединительная линия 7"/>
        <xdr:cNvCxnSpPr/>
      </xdr:nvCxnSpPr>
      <xdr:spPr>
        <a:xfrm flipV="1">
          <a:off x="2349599" y="10061713"/>
          <a:ext cx="118145" cy="974983"/>
        </a:xfrm>
        <a:prstGeom prst="line">
          <a:avLst/>
        </a:prstGeom>
        <a:ln w="1905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122465</xdr:colOff>
      <xdr:row>11</xdr:row>
      <xdr:rowOff>449035</xdr:rowOff>
    </xdr:from>
    <xdr:to>
      <xdr:col>3</xdr:col>
      <xdr:colOff>1483179</xdr:colOff>
      <xdr:row>11</xdr:row>
      <xdr:rowOff>1047749</xdr:rowOff>
    </xdr:to>
    <xdr:cxnSp macro="">
      <xdr:nvCxnSpPr>
        <xdr:cNvPr id="9" name="Прямая соединительная линия 8"/>
        <xdr:cNvCxnSpPr/>
      </xdr:nvCxnSpPr>
      <xdr:spPr>
        <a:xfrm flipH="1">
          <a:off x="1665515" y="11993335"/>
          <a:ext cx="1360714" cy="598714"/>
        </a:xfrm>
        <a:prstGeom prst="line">
          <a:avLst/>
        </a:prstGeom>
        <a:ln w="19050">
          <a:solidFill>
            <a:schemeClr val="tx1"/>
          </a:solidFill>
          <a:prstDash val="solid"/>
          <a:headEnd type="triangle" w="med" len="lg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313764</xdr:colOff>
      <xdr:row>0</xdr:row>
      <xdr:rowOff>145677</xdr:rowOff>
    </xdr:from>
    <xdr:to>
      <xdr:col>2</xdr:col>
      <xdr:colOff>264537</xdr:colOff>
      <xdr:row>2</xdr:row>
      <xdr:rowOff>121151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764" y="145677"/>
          <a:ext cx="912798" cy="413624"/>
        </a:xfrm>
        <a:prstGeom prst="rect">
          <a:avLst/>
        </a:prstGeom>
      </xdr:spPr>
    </xdr:pic>
    <xdr:clientData/>
  </xdr:twoCellAnchor>
  <xdr:twoCellAnchor>
    <xdr:from>
      <xdr:col>3</xdr:col>
      <xdr:colOff>798853</xdr:colOff>
      <xdr:row>5</xdr:row>
      <xdr:rowOff>49586</xdr:rowOff>
    </xdr:from>
    <xdr:to>
      <xdr:col>3</xdr:col>
      <xdr:colOff>798853</xdr:colOff>
      <xdr:row>5</xdr:row>
      <xdr:rowOff>1375518</xdr:rowOff>
    </xdr:to>
    <xdr:cxnSp macro="">
      <xdr:nvCxnSpPr>
        <xdr:cNvPr id="11" name="Прямая со стрелкой 10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 flipV="1">
          <a:off x="2341903" y="2449886"/>
          <a:ext cx="0" cy="1325932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756620</xdr:colOff>
      <xdr:row>5</xdr:row>
      <xdr:rowOff>1345755</xdr:rowOff>
    </xdr:from>
    <xdr:to>
      <xdr:col>3</xdr:col>
      <xdr:colOff>828620</xdr:colOff>
      <xdr:row>5</xdr:row>
      <xdr:rowOff>1417755</xdr:rowOff>
    </xdr:to>
    <xdr:sp macro="" textlink="">
      <xdr:nvSpPr>
        <xdr:cNvPr id="12" name="Овал 11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299670" y="3746055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798853</xdr:colOff>
      <xdr:row>6</xdr:row>
      <xdr:rowOff>49586</xdr:rowOff>
    </xdr:from>
    <xdr:to>
      <xdr:col>3</xdr:col>
      <xdr:colOff>798853</xdr:colOff>
      <xdr:row>6</xdr:row>
      <xdr:rowOff>1375518</xdr:rowOff>
    </xdr:to>
    <xdr:cxnSp macro="">
      <xdr:nvCxnSpPr>
        <xdr:cNvPr id="13" name="Прямая со стрелкой 12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 flipV="1">
          <a:off x="2341903" y="3973886"/>
          <a:ext cx="0" cy="1325932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756620</xdr:colOff>
      <xdr:row>6</xdr:row>
      <xdr:rowOff>1345755</xdr:rowOff>
    </xdr:from>
    <xdr:to>
      <xdr:col>3</xdr:col>
      <xdr:colOff>828620</xdr:colOff>
      <xdr:row>6</xdr:row>
      <xdr:rowOff>1417755</xdr:rowOff>
    </xdr:to>
    <xdr:sp macro="" textlink="">
      <xdr:nvSpPr>
        <xdr:cNvPr id="14" name="Овал 1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299670" y="5270055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798853</xdr:colOff>
      <xdr:row>7</xdr:row>
      <xdr:rowOff>49586</xdr:rowOff>
    </xdr:from>
    <xdr:to>
      <xdr:col>3</xdr:col>
      <xdr:colOff>798853</xdr:colOff>
      <xdr:row>7</xdr:row>
      <xdr:rowOff>1375518</xdr:rowOff>
    </xdr:to>
    <xdr:cxnSp macro="">
      <xdr:nvCxnSpPr>
        <xdr:cNvPr id="15" name="Прямая со стрелкой 14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 flipV="1">
          <a:off x="2341903" y="5497886"/>
          <a:ext cx="0" cy="1325932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756620</xdr:colOff>
      <xdr:row>7</xdr:row>
      <xdr:rowOff>1345755</xdr:rowOff>
    </xdr:from>
    <xdr:to>
      <xdr:col>3</xdr:col>
      <xdr:colOff>828620</xdr:colOff>
      <xdr:row>7</xdr:row>
      <xdr:rowOff>1417755</xdr:rowOff>
    </xdr:to>
    <xdr:sp macro="" textlink="">
      <xdr:nvSpPr>
        <xdr:cNvPr id="16" name="Овал 1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299670" y="6794055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628650</xdr:colOff>
      <xdr:row>4</xdr:row>
      <xdr:rowOff>85725</xdr:rowOff>
    </xdr:from>
    <xdr:to>
      <xdr:col>3</xdr:col>
      <xdr:colOff>800100</xdr:colOff>
      <xdr:row>4</xdr:row>
      <xdr:rowOff>1419225</xdr:rowOff>
    </xdr:to>
    <xdr:sp macro="" textlink="">
      <xdr:nvSpPr>
        <xdr:cNvPr id="17" name="Полилиния 16"/>
        <xdr:cNvSpPr/>
      </xdr:nvSpPr>
      <xdr:spPr>
        <a:xfrm>
          <a:off x="2171700" y="962025"/>
          <a:ext cx="171450" cy="1333500"/>
        </a:xfrm>
        <a:custGeom>
          <a:avLst/>
          <a:gdLst>
            <a:gd name="connsiteX0" fmla="*/ 171450 w 171450"/>
            <a:gd name="connsiteY0" fmla="*/ 1333500 h 1333500"/>
            <a:gd name="connsiteX1" fmla="*/ 171450 w 171450"/>
            <a:gd name="connsiteY1" fmla="*/ 771525 h 1333500"/>
            <a:gd name="connsiteX2" fmla="*/ 0 w 171450"/>
            <a:gd name="connsiteY2" fmla="*/ 0 h 1333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1450" h="1333500">
              <a:moveTo>
                <a:pt x="171450" y="1333500"/>
              </a:moveTo>
              <a:lnTo>
                <a:pt x="171450" y="771525"/>
              </a:lnTo>
              <a:lnTo>
                <a:pt x="0" y="0"/>
              </a:ln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295275</xdr:colOff>
      <xdr:row>4</xdr:row>
      <xdr:rowOff>457200</xdr:rowOff>
    </xdr:from>
    <xdr:to>
      <xdr:col>3</xdr:col>
      <xdr:colOff>800100</xdr:colOff>
      <xdr:row>4</xdr:row>
      <xdr:rowOff>885825</xdr:rowOff>
    </xdr:to>
    <xdr:sp macro="" textlink="">
      <xdr:nvSpPr>
        <xdr:cNvPr id="18" name="Полилиния 17"/>
        <xdr:cNvSpPr/>
      </xdr:nvSpPr>
      <xdr:spPr>
        <a:xfrm>
          <a:off x="1838325" y="1333500"/>
          <a:ext cx="504825" cy="428625"/>
        </a:xfrm>
        <a:custGeom>
          <a:avLst/>
          <a:gdLst>
            <a:gd name="connsiteX0" fmla="*/ 504825 w 504825"/>
            <a:gd name="connsiteY0" fmla="*/ 428625 h 428625"/>
            <a:gd name="connsiteX1" fmla="*/ 419100 w 504825"/>
            <a:gd name="connsiteY1" fmla="*/ 200025 h 428625"/>
            <a:gd name="connsiteX2" fmla="*/ 257175 w 504825"/>
            <a:gd name="connsiteY2" fmla="*/ 76200 h 428625"/>
            <a:gd name="connsiteX3" fmla="*/ 0 w 504825"/>
            <a:gd name="connsiteY3" fmla="*/ 0 h 4286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04825" h="428625">
              <a:moveTo>
                <a:pt x="504825" y="428625"/>
              </a:moveTo>
              <a:cubicBezTo>
                <a:pt x="482600" y="343693"/>
                <a:pt x="460375" y="258762"/>
                <a:pt x="419100" y="200025"/>
              </a:cubicBezTo>
              <a:cubicBezTo>
                <a:pt x="377825" y="141288"/>
                <a:pt x="327025" y="109537"/>
                <a:pt x="257175" y="76200"/>
              </a:cubicBezTo>
              <a:cubicBezTo>
                <a:pt x="187325" y="42863"/>
                <a:pt x="93662" y="21431"/>
                <a:pt x="0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756620</xdr:colOff>
      <xdr:row>4</xdr:row>
      <xdr:rowOff>1364805</xdr:rowOff>
    </xdr:from>
    <xdr:to>
      <xdr:col>3</xdr:col>
      <xdr:colOff>828620</xdr:colOff>
      <xdr:row>4</xdr:row>
      <xdr:rowOff>1436805</xdr:rowOff>
    </xdr:to>
    <xdr:sp macro="" textlink="">
      <xdr:nvSpPr>
        <xdr:cNvPr id="19" name="Овал 18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299670" y="2241105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523574</xdr:colOff>
      <xdr:row>5</xdr:row>
      <xdr:rowOff>82827</xdr:rowOff>
    </xdr:from>
    <xdr:to>
      <xdr:col>3</xdr:col>
      <xdr:colOff>791580</xdr:colOff>
      <xdr:row>5</xdr:row>
      <xdr:rowOff>922327</xdr:rowOff>
    </xdr:to>
    <xdr:cxnSp macro="">
      <xdr:nvCxnSpPr>
        <xdr:cNvPr id="20" name="Прямая со стрелкой 19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>
          <a:off x="2066624" y="2483127"/>
          <a:ext cx="268006" cy="839500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526676</xdr:colOff>
      <xdr:row>6</xdr:row>
      <xdr:rowOff>573394</xdr:rowOff>
    </xdr:from>
    <xdr:to>
      <xdr:col>5</xdr:col>
      <xdr:colOff>641055</xdr:colOff>
      <xdr:row>6</xdr:row>
      <xdr:rowOff>963919</xdr:rowOff>
    </xdr:to>
    <xdr:sp macro="" textlink="">
      <xdr:nvSpPr>
        <xdr:cNvPr id="21" name="Прямоугольник 20"/>
        <xdr:cNvSpPr/>
      </xdr:nvSpPr>
      <xdr:spPr>
        <a:xfrm>
          <a:off x="3650876" y="4497694"/>
          <a:ext cx="1495504" cy="390525"/>
        </a:xfrm>
        <a:prstGeom prst="rect">
          <a:avLst/>
        </a:prstGeom>
        <a:solidFill>
          <a:schemeClr val="bg1"/>
        </a:solidFill>
        <a:ln w="19050">
          <a:solidFill>
            <a:schemeClr val="dk1">
              <a:shade val="95000"/>
              <a:satMod val="105000"/>
            </a:schemeClr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 b="1">
              <a:solidFill>
                <a:sysClr val="windowText" lastClr="000000"/>
              </a:solidFill>
            </a:rPr>
            <a:t>???</a:t>
          </a:r>
        </a:p>
      </xdr:txBody>
    </xdr:sp>
    <xdr:clientData/>
  </xdr:twoCellAnchor>
  <xdr:twoCellAnchor>
    <xdr:from>
      <xdr:col>4</xdr:col>
      <xdr:colOff>533324</xdr:colOff>
      <xdr:row>6</xdr:row>
      <xdr:rowOff>571501</xdr:rowOff>
    </xdr:from>
    <xdr:to>
      <xdr:col>5</xdr:col>
      <xdr:colOff>631295</xdr:colOff>
      <xdr:row>6</xdr:row>
      <xdr:rowOff>963386</xdr:rowOff>
    </xdr:to>
    <xdr:cxnSp macro="">
      <xdr:nvCxnSpPr>
        <xdr:cNvPr id="22" name="Прямая соединительная линия 21"/>
        <xdr:cNvCxnSpPr/>
      </xdr:nvCxnSpPr>
      <xdr:spPr>
        <a:xfrm flipV="1">
          <a:off x="3657524" y="4495801"/>
          <a:ext cx="1479096" cy="391885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638735</xdr:colOff>
      <xdr:row>6</xdr:row>
      <xdr:rowOff>493060</xdr:rowOff>
    </xdr:from>
    <xdr:to>
      <xdr:col>3</xdr:col>
      <xdr:colOff>710735</xdr:colOff>
      <xdr:row>6</xdr:row>
      <xdr:rowOff>565060</xdr:rowOff>
    </xdr:to>
    <xdr:sp macro="" textlink="">
      <xdr:nvSpPr>
        <xdr:cNvPr id="23" name="5-конечная звезда 22">
          <a:extLst>
            <a:ext uri="{FF2B5EF4-FFF2-40B4-BE49-F238E27FC236}">
              <a16:creationId xmlns:a16="http://schemas.microsoft.com/office/drawing/2014/main" xmlns="" id="{00000000-0008-0000-0900-000023030000}"/>
            </a:ext>
          </a:extLst>
        </xdr:cNvPr>
        <xdr:cNvSpPr/>
      </xdr:nvSpPr>
      <xdr:spPr>
        <a:xfrm>
          <a:off x="2181785" y="4417360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150439</xdr:colOff>
      <xdr:row>6</xdr:row>
      <xdr:rowOff>459441</xdr:rowOff>
    </xdr:from>
    <xdr:to>
      <xdr:col>3</xdr:col>
      <xdr:colOff>790400</xdr:colOff>
      <xdr:row>6</xdr:row>
      <xdr:rowOff>855090</xdr:rowOff>
    </xdr:to>
    <xdr:cxnSp macro="">
      <xdr:nvCxnSpPr>
        <xdr:cNvPr id="24" name="Прямая со стрелкой 23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>
          <a:off x="1693489" y="4383741"/>
          <a:ext cx="639961" cy="395649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806826</xdr:colOff>
      <xdr:row>7</xdr:row>
      <xdr:rowOff>739590</xdr:rowOff>
    </xdr:from>
    <xdr:to>
      <xdr:col>3</xdr:col>
      <xdr:colOff>1473868</xdr:colOff>
      <xdr:row>7</xdr:row>
      <xdr:rowOff>741947</xdr:rowOff>
    </xdr:to>
    <xdr:cxnSp macro="">
      <xdr:nvCxnSpPr>
        <xdr:cNvPr id="25" name="Прямая со стрелкой 24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 flipH="1" flipV="1">
          <a:off x="2349876" y="6187890"/>
          <a:ext cx="667042" cy="2357"/>
        </a:xfrm>
        <a:prstGeom prst="straightConnector1">
          <a:avLst/>
        </a:prstGeom>
        <a:ln w="19050">
          <a:prstDash val="sysDot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972332</xdr:colOff>
      <xdr:row>7</xdr:row>
      <xdr:rowOff>705978</xdr:rowOff>
    </xdr:from>
    <xdr:to>
      <xdr:col>3</xdr:col>
      <xdr:colOff>1044332</xdr:colOff>
      <xdr:row>7</xdr:row>
      <xdr:rowOff>777978</xdr:rowOff>
    </xdr:to>
    <xdr:sp macro="" textlink="">
      <xdr:nvSpPr>
        <xdr:cNvPr id="26" name="5-конечная звезда 25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515382" y="6154278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537888</xdr:colOff>
      <xdr:row>7</xdr:row>
      <xdr:rowOff>713305</xdr:rowOff>
    </xdr:from>
    <xdr:to>
      <xdr:col>3</xdr:col>
      <xdr:colOff>609888</xdr:colOff>
      <xdr:row>7</xdr:row>
      <xdr:rowOff>785305</xdr:rowOff>
    </xdr:to>
    <xdr:sp macro="" textlink="">
      <xdr:nvSpPr>
        <xdr:cNvPr id="27" name="5-конечная звезда 26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2080938" y="6161605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235100</xdr:colOff>
      <xdr:row>8</xdr:row>
      <xdr:rowOff>104808</xdr:rowOff>
    </xdr:from>
    <xdr:to>
      <xdr:col>3</xdr:col>
      <xdr:colOff>781752</xdr:colOff>
      <xdr:row>8</xdr:row>
      <xdr:rowOff>1339006</xdr:rowOff>
    </xdr:to>
    <xdr:sp macro="" textlink="">
      <xdr:nvSpPr>
        <xdr:cNvPr id="28" name="Полилиния 27"/>
        <xdr:cNvSpPr/>
      </xdr:nvSpPr>
      <xdr:spPr>
        <a:xfrm>
          <a:off x="1778150" y="7077108"/>
          <a:ext cx="546652" cy="1234198"/>
        </a:xfrm>
        <a:custGeom>
          <a:avLst/>
          <a:gdLst>
            <a:gd name="connsiteX0" fmla="*/ 0 w 546652"/>
            <a:gd name="connsiteY0" fmla="*/ 0 h 1341783"/>
            <a:gd name="connsiteX1" fmla="*/ 331304 w 546652"/>
            <a:gd name="connsiteY1" fmla="*/ 554935 h 1341783"/>
            <a:gd name="connsiteX2" fmla="*/ 546652 w 546652"/>
            <a:gd name="connsiteY2" fmla="*/ 1341783 h 13417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6652" h="1341783">
              <a:moveTo>
                <a:pt x="0" y="0"/>
              </a:moveTo>
              <a:cubicBezTo>
                <a:pt x="120097" y="165652"/>
                <a:pt x="240195" y="331305"/>
                <a:pt x="331304" y="554935"/>
              </a:cubicBezTo>
              <a:cubicBezTo>
                <a:pt x="422413" y="778566"/>
                <a:pt x="484532" y="1060174"/>
                <a:pt x="546652" y="1341783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785076</xdr:colOff>
      <xdr:row>8</xdr:row>
      <xdr:rowOff>107677</xdr:rowOff>
    </xdr:from>
    <xdr:to>
      <xdr:col>3</xdr:col>
      <xdr:colOff>1331728</xdr:colOff>
      <xdr:row>8</xdr:row>
      <xdr:rowOff>1341875</xdr:rowOff>
    </xdr:to>
    <xdr:sp macro="" textlink="">
      <xdr:nvSpPr>
        <xdr:cNvPr id="29" name="Полилиния 28"/>
        <xdr:cNvSpPr/>
      </xdr:nvSpPr>
      <xdr:spPr>
        <a:xfrm flipH="1">
          <a:off x="2328126" y="7079977"/>
          <a:ext cx="546652" cy="1234198"/>
        </a:xfrm>
        <a:custGeom>
          <a:avLst/>
          <a:gdLst>
            <a:gd name="connsiteX0" fmla="*/ 0 w 546652"/>
            <a:gd name="connsiteY0" fmla="*/ 0 h 1341783"/>
            <a:gd name="connsiteX1" fmla="*/ 331304 w 546652"/>
            <a:gd name="connsiteY1" fmla="*/ 554935 h 1341783"/>
            <a:gd name="connsiteX2" fmla="*/ 546652 w 546652"/>
            <a:gd name="connsiteY2" fmla="*/ 1341783 h 13417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6652" h="1341783">
              <a:moveTo>
                <a:pt x="0" y="0"/>
              </a:moveTo>
              <a:cubicBezTo>
                <a:pt x="120097" y="165652"/>
                <a:pt x="240195" y="331305"/>
                <a:pt x="331304" y="554935"/>
              </a:cubicBezTo>
              <a:cubicBezTo>
                <a:pt x="422413" y="778566"/>
                <a:pt x="484532" y="1060174"/>
                <a:pt x="546652" y="1341783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610734</xdr:colOff>
      <xdr:row>8</xdr:row>
      <xdr:rowOff>219469</xdr:rowOff>
    </xdr:from>
    <xdr:to>
      <xdr:col>3</xdr:col>
      <xdr:colOff>787567</xdr:colOff>
      <xdr:row>8</xdr:row>
      <xdr:rowOff>697876</xdr:rowOff>
    </xdr:to>
    <xdr:sp macro="" textlink="">
      <xdr:nvSpPr>
        <xdr:cNvPr id="30" name="Полилиния 29"/>
        <xdr:cNvSpPr/>
      </xdr:nvSpPr>
      <xdr:spPr>
        <a:xfrm>
          <a:off x="2153784" y="7191769"/>
          <a:ext cx="176833" cy="478407"/>
        </a:xfrm>
        <a:custGeom>
          <a:avLst/>
          <a:gdLst>
            <a:gd name="connsiteX0" fmla="*/ 190187 w 190187"/>
            <a:gd name="connsiteY0" fmla="*/ 0 h 662608"/>
            <a:gd name="connsiteX1" fmla="*/ 90795 w 190187"/>
            <a:gd name="connsiteY1" fmla="*/ 323022 h 662608"/>
            <a:gd name="connsiteX2" fmla="*/ 7969 w 190187"/>
            <a:gd name="connsiteY2" fmla="*/ 563217 h 662608"/>
            <a:gd name="connsiteX3" fmla="*/ 7969 w 190187"/>
            <a:gd name="connsiteY3" fmla="*/ 662608 h 66260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90187" h="662608">
              <a:moveTo>
                <a:pt x="190187" y="0"/>
              </a:moveTo>
              <a:cubicBezTo>
                <a:pt x="155676" y="114576"/>
                <a:pt x="121165" y="229153"/>
                <a:pt x="90795" y="323022"/>
              </a:cubicBezTo>
              <a:cubicBezTo>
                <a:pt x="60425" y="416892"/>
                <a:pt x="21773" y="506619"/>
                <a:pt x="7969" y="563217"/>
              </a:cubicBezTo>
              <a:cubicBezTo>
                <a:pt x="-5835" y="619815"/>
                <a:pt x="1067" y="641211"/>
                <a:pt x="7969" y="662608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799726</xdr:colOff>
      <xdr:row>8</xdr:row>
      <xdr:rowOff>217127</xdr:rowOff>
    </xdr:from>
    <xdr:to>
      <xdr:col>3</xdr:col>
      <xdr:colOff>967991</xdr:colOff>
      <xdr:row>8</xdr:row>
      <xdr:rowOff>695534</xdr:rowOff>
    </xdr:to>
    <xdr:sp macro="" textlink="">
      <xdr:nvSpPr>
        <xdr:cNvPr id="31" name="Полилиния 30"/>
        <xdr:cNvSpPr/>
      </xdr:nvSpPr>
      <xdr:spPr>
        <a:xfrm flipH="1">
          <a:off x="2342776" y="7189427"/>
          <a:ext cx="168265" cy="478407"/>
        </a:xfrm>
        <a:custGeom>
          <a:avLst/>
          <a:gdLst>
            <a:gd name="connsiteX0" fmla="*/ 190187 w 190187"/>
            <a:gd name="connsiteY0" fmla="*/ 0 h 662608"/>
            <a:gd name="connsiteX1" fmla="*/ 90795 w 190187"/>
            <a:gd name="connsiteY1" fmla="*/ 323022 h 662608"/>
            <a:gd name="connsiteX2" fmla="*/ 7969 w 190187"/>
            <a:gd name="connsiteY2" fmla="*/ 563217 h 662608"/>
            <a:gd name="connsiteX3" fmla="*/ 7969 w 190187"/>
            <a:gd name="connsiteY3" fmla="*/ 662608 h 66260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90187" h="662608">
              <a:moveTo>
                <a:pt x="190187" y="0"/>
              </a:moveTo>
              <a:cubicBezTo>
                <a:pt x="155676" y="114576"/>
                <a:pt x="121165" y="229153"/>
                <a:pt x="90795" y="323022"/>
              </a:cubicBezTo>
              <a:cubicBezTo>
                <a:pt x="60425" y="416892"/>
                <a:pt x="21773" y="506619"/>
                <a:pt x="7969" y="563217"/>
              </a:cubicBezTo>
              <a:cubicBezTo>
                <a:pt x="-5835" y="619815"/>
                <a:pt x="1067" y="641211"/>
                <a:pt x="7969" y="662608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612848</xdr:colOff>
      <xdr:row>8</xdr:row>
      <xdr:rowOff>494830</xdr:rowOff>
    </xdr:from>
    <xdr:to>
      <xdr:col>3</xdr:col>
      <xdr:colOff>963232</xdr:colOff>
      <xdr:row>8</xdr:row>
      <xdr:rowOff>845214</xdr:rowOff>
    </xdr:to>
    <xdr:sp macro="" textlink="">
      <xdr:nvSpPr>
        <xdr:cNvPr id="32" name="Овал 31"/>
        <xdr:cNvSpPr/>
      </xdr:nvSpPr>
      <xdr:spPr>
        <a:xfrm>
          <a:off x="2155898" y="7467130"/>
          <a:ext cx="350384" cy="350384"/>
        </a:xfrm>
        <a:prstGeom prst="ellips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787464</xdr:colOff>
      <xdr:row>8</xdr:row>
      <xdr:rowOff>1322397</xdr:rowOff>
    </xdr:from>
    <xdr:to>
      <xdr:col>3</xdr:col>
      <xdr:colOff>787464</xdr:colOff>
      <xdr:row>8</xdr:row>
      <xdr:rowOff>1463720</xdr:rowOff>
    </xdr:to>
    <xdr:cxnSp macro="">
      <xdr:nvCxnSpPr>
        <xdr:cNvPr id="33" name="Прямая со стрелкой 32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>
          <a:off x="2330514" y="8294697"/>
          <a:ext cx="0" cy="141323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791478</xdr:colOff>
      <xdr:row>8</xdr:row>
      <xdr:rowOff>4375</xdr:rowOff>
    </xdr:from>
    <xdr:to>
      <xdr:col>3</xdr:col>
      <xdr:colOff>791478</xdr:colOff>
      <xdr:row>8</xdr:row>
      <xdr:rowOff>232748</xdr:rowOff>
    </xdr:to>
    <xdr:cxnSp macro="">
      <xdr:nvCxnSpPr>
        <xdr:cNvPr id="34" name="Прямая со стрелкой 33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 flipV="1">
          <a:off x="2334528" y="6976675"/>
          <a:ext cx="0" cy="228373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747525</xdr:colOff>
      <xdr:row>8</xdr:row>
      <xdr:rowOff>1407150</xdr:rowOff>
    </xdr:from>
    <xdr:to>
      <xdr:col>3</xdr:col>
      <xdr:colOff>819525</xdr:colOff>
      <xdr:row>8</xdr:row>
      <xdr:rowOff>1479150</xdr:rowOff>
    </xdr:to>
    <xdr:sp macro="" textlink="">
      <xdr:nvSpPr>
        <xdr:cNvPr id="35" name="Овал 34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290575" y="8379450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606633</xdr:colOff>
      <xdr:row>8</xdr:row>
      <xdr:rowOff>757950</xdr:rowOff>
    </xdr:from>
    <xdr:to>
      <xdr:col>3</xdr:col>
      <xdr:colOff>704605</xdr:colOff>
      <xdr:row>8</xdr:row>
      <xdr:rowOff>839593</xdr:rowOff>
    </xdr:to>
    <xdr:sp macro="" textlink="">
      <xdr:nvSpPr>
        <xdr:cNvPr id="36" name="Прямоугольник 35"/>
        <xdr:cNvSpPr/>
      </xdr:nvSpPr>
      <xdr:spPr>
        <a:xfrm rot="-1200000">
          <a:off x="2149683" y="7730250"/>
          <a:ext cx="97972" cy="81643"/>
        </a:xfrm>
        <a:prstGeom prst="rect">
          <a:avLst/>
        </a:prstGeom>
        <a:solidFill>
          <a:schemeClr val="bg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235100</xdr:colOff>
      <xdr:row>9</xdr:row>
      <xdr:rowOff>161084</xdr:rowOff>
    </xdr:from>
    <xdr:to>
      <xdr:col>3</xdr:col>
      <xdr:colOff>781752</xdr:colOff>
      <xdr:row>9</xdr:row>
      <xdr:rowOff>1395282</xdr:rowOff>
    </xdr:to>
    <xdr:sp macro="" textlink="">
      <xdr:nvSpPr>
        <xdr:cNvPr id="37" name="Полилиния 36"/>
        <xdr:cNvSpPr/>
      </xdr:nvSpPr>
      <xdr:spPr>
        <a:xfrm flipV="1">
          <a:off x="1778150" y="8657384"/>
          <a:ext cx="546652" cy="1234198"/>
        </a:xfrm>
        <a:custGeom>
          <a:avLst/>
          <a:gdLst>
            <a:gd name="connsiteX0" fmla="*/ 0 w 546652"/>
            <a:gd name="connsiteY0" fmla="*/ 0 h 1341783"/>
            <a:gd name="connsiteX1" fmla="*/ 331304 w 546652"/>
            <a:gd name="connsiteY1" fmla="*/ 554935 h 1341783"/>
            <a:gd name="connsiteX2" fmla="*/ 546652 w 546652"/>
            <a:gd name="connsiteY2" fmla="*/ 1341783 h 13417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6652" h="1341783">
              <a:moveTo>
                <a:pt x="0" y="0"/>
              </a:moveTo>
              <a:cubicBezTo>
                <a:pt x="120097" y="165652"/>
                <a:pt x="240195" y="331305"/>
                <a:pt x="331304" y="554935"/>
              </a:cubicBezTo>
              <a:cubicBezTo>
                <a:pt x="422413" y="778566"/>
                <a:pt x="484532" y="1060174"/>
                <a:pt x="546652" y="1341783"/>
              </a:cubicBezTo>
            </a:path>
          </a:pathLst>
        </a:custGeom>
        <a:noFill/>
        <a:ln w="19050">
          <a:solidFill>
            <a:schemeClr val="tx1"/>
          </a:solidFill>
          <a:headEnd type="triangle" w="med" len="lg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785076</xdr:colOff>
      <xdr:row>9</xdr:row>
      <xdr:rowOff>158215</xdr:rowOff>
    </xdr:from>
    <xdr:to>
      <xdr:col>3</xdr:col>
      <xdr:colOff>1331728</xdr:colOff>
      <xdr:row>9</xdr:row>
      <xdr:rowOff>1392413</xdr:rowOff>
    </xdr:to>
    <xdr:sp macro="" textlink="">
      <xdr:nvSpPr>
        <xdr:cNvPr id="38" name="Полилиния 37"/>
        <xdr:cNvSpPr/>
      </xdr:nvSpPr>
      <xdr:spPr>
        <a:xfrm flipH="1" flipV="1">
          <a:off x="2328126" y="8654515"/>
          <a:ext cx="546652" cy="1234198"/>
        </a:xfrm>
        <a:custGeom>
          <a:avLst/>
          <a:gdLst>
            <a:gd name="connsiteX0" fmla="*/ 0 w 546652"/>
            <a:gd name="connsiteY0" fmla="*/ 0 h 1341783"/>
            <a:gd name="connsiteX1" fmla="*/ 331304 w 546652"/>
            <a:gd name="connsiteY1" fmla="*/ 554935 h 1341783"/>
            <a:gd name="connsiteX2" fmla="*/ 546652 w 546652"/>
            <a:gd name="connsiteY2" fmla="*/ 1341783 h 13417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6652" h="1341783">
              <a:moveTo>
                <a:pt x="0" y="0"/>
              </a:moveTo>
              <a:cubicBezTo>
                <a:pt x="120097" y="165652"/>
                <a:pt x="240195" y="331305"/>
                <a:pt x="331304" y="554935"/>
              </a:cubicBezTo>
              <a:cubicBezTo>
                <a:pt x="422413" y="778566"/>
                <a:pt x="484532" y="1060174"/>
                <a:pt x="546652" y="1341783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610734</xdr:colOff>
      <xdr:row>9</xdr:row>
      <xdr:rowOff>802214</xdr:rowOff>
    </xdr:from>
    <xdr:to>
      <xdr:col>3</xdr:col>
      <xdr:colOff>787567</xdr:colOff>
      <xdr:row>9</xdr:row>
      <xdr:rowOff>1280621</xdr:rowOff>
    </xdr:to>
    <xdr:sp macro="" textlink="">
      <xdr:nvSpPr>
        <xdr:cNvPr id="39" name="Полилиния 38"/>
        <xdr:cNvSpPr/>
      </xdr:nvSpPr>
      <xdr:spPr>
        <a:xfrm flipV="1">
          <a:off x="2153784" y="9298514"/>
          <a:ext cx="176833" cy="478407"/>
        </a:xfrm>
        <a:custGeom>
          <a:avLst/>
          <a:gdLst>
            <a:gd name="connsiteX0" fmla="*/ 190187 w 190187"/>
            <a:gd name="connsiteY0" fmla="*/ 0 h 662608"/>
            <a:gd name="connsiteX1" fmla="*/ 90795 w 190187"/>
            <a:gd name="connsiteY1" fmla="*/ 323022 h 662608"/>
            <a:gd name="connsiteX2" fmla="*/ 7969 w 190187"/>
            <a:gd name="connsiteY2" fmla="*/ 563217 h 662608"/>
            <a:gd name="connsiteX3" fmla="*/ 7969 w 190187"/>
            <a:gd name="connsiteY3" fmla="*/ 662608 h 66260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90187" h="662608">
              <a:moveTo>
                <a:pt x="190187" y="0"/>
              </a:moveTo>
              <a:cubicBezTo>
                <a:pt x="155676" y="114576"/>
                <a:pt x="121165" y="229153"/>
                <a:pt x="90795" y="323022"/>
              </a:cubicBezTo>
              <a:cubicBezTo>
                <a:pt x="60425" y="416892"/>
                <a:pt x="21773" y="506619"/>
                <a:pt x="7969" y="563217"/>
              </a:cubicBezTo>
              <a:cubicBezTo>
                <a:pt x="-5835" y="619815"/>
                <a:pt x="1067" y="641211"/>
                <a:pt x="7969" y="662608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799726</xdr:colOff>
      <xdr:row>9</xdr:row>
      <xdr:rowOff>804556</xdr:rowOff>
    </xdr:from>
    <xdr:to>
      <xdr:col>3</xdr:col>
      <xdr:colOff>967991</xdr:colOff>
      <xdr:row>9</xdr:row>
      <xdr:rowOff>1282963</xdr:rowOff>
    </xdr:to>
    <xdr:sp macro="" textlink="">
      <xdr:nvSpPr>
        <xdr:cNvPr id="40" name="Полилиния 39"/>
        <xdr:cNvSpPr/>
      </xdr:nvSpPr>
      <xdr:spPr>
        <a:xfrm flipH="1" flipV="1">
          <a:off x="2342776" y="9300856"/>
          <a:ext cx="168265" cy="478407"/>
        </a:xfrm>
        <a:custGeom>
          <a:avLst/>
          <a:gdLst>
            <a:gd name="connsiteX0" fmla="*/ 190187 w 190187"/>
            <a:gd name="connsiteY0" fmla="*/ 0 h 662608"/>
            <a:gd name="connsiteX1" fmla="*/ 90795 w 190187"/>
            <a:gd name="connsiteY1" fmla="*/ 323022 h 662608"/>
            <a:gd name="connsiteX2" fmla="*/ 7969 w 190187"/>
            <a:gd name="connsiteY2" fmla="*/ 563217 h 662608"/>
            <a:gd name="connsiteX3" fmla="*/ 7969 w 190187"/>
            <a:gd name="connsiteY3" fmla="*/ 662608 h 66260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90187" h="662608">
              <a:moveTo>
                <a:pt x="190187" y="0"/>
              </a:moveTo>
              <a:cubicBezTo>
                <a:pt x="155676" y="114576"/>
                <a:pt x="121165" y="229153"/>
                <a:pt x="90795" y="323022"/>
              </a:cubicBezTo>
              <a:cubicBezTo>
                <a:pt x="60425" y="416892"/>
                <a:pt x="21773" y="506619"/>
                <a:pt x="7969" y="563217"/>
              </a:cubicBezTo>
              <a:cubicBezTo>
                <a:pt x="-5835" y="619815"/>
                <a:pt x="1067" y="641211"/>
                <a:pt x="7969" y="662608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612848</xdr:colOff>
      <xdr:row>9</xdr:row>
      <xdr:rowOff>654876</xdr:rowOff>
    </xdr:from>
    <xdr:to>
      <xdr:col>3</xdr:col>
      <xdr:colOff>963232</xdr:colOff>
      <xdr:row>9</xdr:row>
      <xdr:rowOff>1005260</xdr:rowOff>
    </xdr:to>
    <xdr:sp macro="" textlink="">
      <xdr:nvSpPr>
        <xdr:cNvPr id="41" name="Овал 40"/>
        <xdr:cNvSpPr/>
      </xdr:nvSpPr>
      <xdr:spPr>
        <a:xfrm flipV="1">
          <a:off x="2155898" y="9151176"/>
          <a:ext cx="350384" cy="350384"/>
        </a:xfrm>
        <a:prstGeom prst="ellips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787464</xdr:colOff>
      <xdr:row>9</xdr:row>
      <xdr:rowOff>36370</xdr:rowOff>
    </xdr:from>
    <xdr:to>
      <xdr:col>3</xdr:col>
      <xdr:colOff>787464</xdr:colOff>
      <xdr:row>9</xdr:row>
      <xdr:rowOff>177693</xdr:rowOff>
    </xdr:to>
    <xdr:cxnSp macro="">
      <xdr:nvCxnSpPr>
        <xdr:cNvPr id="42" name="Прямая со стрелкой 41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 flipV="1">
          <a:off x="2330514" y="8532670"/>
          <a:ext cx="0" cy="141323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791478</xdr:colOff>
      <xdr:row>9</xdr:row>
      <xdr:rowOff>1267342</xdr:rowOff>
    </xdr:from>
    <xdr:to>
      <xdr:col>3</xdr:col>
      <xdr:colOff>791478</xdr:colOff>
      <xdr:row>9</xdr:row>
      <xdr:rowOff>1441174</xdr:rowOff>
    </xdr:to>
    <xdr:cxnSp macro="">
      <xdr:nvCxnSpPr>
        <xdr:cNvPr id="43" name="Прямая со стрелкой 42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>
          <a:off x="2334528" y="9763642"/>
          <a:ext cx="0" cy="173832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755806</xdr:colOff>
      <xdr:row>9</xdr:row>
      <xdr:rowOff>1395854</xdr:rowOff>
    </xdr:from>
    <xdr:to>
      <xdr:col>3</xdr:col>
      <xdr:colOff>827806</xdr:colOff>
      <xdr:row>9</xdr:row>
      <xdr:rowOff>1467854</xdr:rowOff>
    </xdr:to>
    <xdr:sp macro="" textlink="">
      <xdr:nvSpPr>
        <xdr:cNvPr id="44" name="Овал 4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flipV="1">
          <a:off x="2298856" y="9892154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631481</xdr:colOff>
      <xdr:row>9</xdr:row>
      <xdr:rowOff>942107</xdr:rowOff>
    </xdr:from>
    <xdr:to>
      <xdr:col>3</xdr:col>
      <xdr:colOff>729453</xdr:colOff>
      <xdr:row>9</xdr:row>
      <xdr:rowOff>1023750</xdr:rowOff>
    </xdr:to>
    <xdr:sp macro="" textlink="">
      <xdr:nvSpPr>
        <xdr:cNvPr id="45" name="Прямоугольник 44"/>
        <xdr:cNvSpPr/>
      </xdr:nvSpPr>
      <xdr:spPr>
        <a:xfrm rot="1200000" flipV="1">
          <a:off x="2174531" y="9438407"/>
          <a:ext cx="97972" cy="81643"/>
        </a:xfrm>
        <a:prstGeom prst="rect">
          <a:avLst/>
        </a:prstGeom>
        <a:solidFill>
          <a:schemeClr val="bg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809848</xdr:colOff>
      <xdr:row>13</xdr:row>
      <xdr:rowOff>67235</xdr:rowOff>
    </xdr:from>
    <xdr:to>
      <xdr:col>3</xdr:col>
      <xdr:colOff>809848</xdr:colOff>
      <xdr:row>13</xdr:row>
      <xdr:rowOff>1356775</xdr:rowOff>
    </xdr:to>
    <xdr:cxnSp macro="">
      <xdr:nvCxnSpPr>
        <xdr:cNvPr id="46" name="Прямая со стрелкой 4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352898" y="14659535"/>
          <a:ext cx="0" cy="1289540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768855</xdr:colOff>
      <xdr:row>13</xdr:row>
      <xdr:rowOff>1339079</xdr:rowOff>
    </xdr:from>
    <xdr:to>
      <xdr:col>3</xdr:col>
      <xdr:colOff>840855</xdr:colOff>
      <xdr:row>13</xdr:row>
      <xdr:rowOff>1411079</xdr:rowOff>
    </xdr:to>
    <xdr:sp macro="" textlink="">
      <xdr:nvSpPr>
        <xdr:cNvPr id="47" name="Овал 46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311905" y="15931379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972326</xdr:colOff>
      <xdr:row>13</xdr:row>
      <xdr:rowOff>717184</xdr:rowOff>
    </xdr:from>
    <xdr:to>
      <xdr:col>3</xdr:col>
      <xdr:colOff>1044326</xdr:colOff>
      <xdr:row>13</xdr:row>
      <xdr:rowOff>789184</xdr:rowOff>
    </xdr:to>
    <xdr:sp macro="" textlink="">
      <xdr:nvSpPr>
        <xdr:cNvPr id="48" name="5-конечная звезда 47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515376" y="15309484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560294</xdr:colOff>
      <xdr:row>13</xdr:row>
      <xdr:rowOff>724511</xdr:rowOff>
    </xdr:from>
    <xdr:to>
      <xdr:col>3</xdr:col>
      <xdr:colOff>632294</xdr:colOff>
      <xdr:row>13</xdr:row>
      <xdr:rowOff>796511</xdr:rowOff>
    </xdr:to>
    <xdr:sp macro="" textlink="">
      <xdr:nvSpPr>
        <xdr:cNvPr id="49" name="5-конечная звезда 48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2103344" y="15316811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794665</xdr:colOff>
      <xdr:row>12</xdr:row>
      <xdr:rowOff>100853</xdr:rowOff>
    </xdr:from>
    <xdr:to>
      <xdr:col>3</xdr:col>
      <xdr:colOff>794665</xdr:colOff>
      <xdr:row>12</xdr:row>
      <xdr:rowOff>1426785</xdr:rowOff>
    </xdr:to>
    <xdr:cxnSp macro="">
      <xdr:nvCxnSpPr>
        <xdr:cNvPr id="50" name="Прямая со стрелкой 49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 rot="10800000" flipV="1">
          <a:off x="2337715" y="13169153"/>
          <a:ext cx="0" cy="1325932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761999</xdr:colOff>
      <xdr:row>12</xdr:row>
      <xdr:rowOff>1375074</xdr:rowOff>
    </xdr:from>
    <xdr:to>
      <xdr:col>3</xdr:col>
      <xdr:colOff>833999</xdr:colOff>
      <xdr:row>12</xdr:row>
      <xdr:rowOff>1447074</xdr:rowOff>
    </xdr:to>
    <xdr:sp macro="" textlink="">
      <xdr:nvSpPr>
        <xdr:cNvPr id="51" name="Овал 50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flipH="1">
          <a:off x="2305049" y="14443374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794467</xdr:colOff>
      <xdr:row>12</xdr:row>
      <xdr:rowOff>758389</xdr:rowOff>
    </xdr:from>
    <xdr:to>
      <xdr:col>3</xdr:col>
      <xdr:colOff>1498488</xdr:colOff>
      <xdr:row>12</xdr:row>
      <xdr:rowOff>758389</xdr:rowOff>
    </xdr:to>
    <xdr:cxnSp macro="">
      <xdr:nvCxnSpPr>
        <xdr:cNvPr id="52" name="Прямая соединительная линия 51"/>
        <xdr:cNvCxnSpPr/>
      </xdr:nvCxnSpPr>
      <xdr:spPr>
        <a:xfrm>
          <a:off x="2337517" y="13826689"/>
          <a:ext cx="704021" cy="0"/>
        </a:xfrm>
        <a:prstGeom prst="line">
          <a:avLst/>
        </a:prstGeom>
        <a:ln w="1905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336177</xdr:colOff>
      <xdr:row>22</xdr:row>
      <xdr:rowOff>123265</xdr:rowOff>
    </xdr:from>
    <xdr:to>
      <xdr:col>9</xdr:col>
      <xdr:colOff>339468</xdr:colOff>
      <xdr:row>30</xdr:row>
      <xdr:rowOff>122551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177" y="7283824"/>
          <a:ext cx="5652737" cy="1523286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0</xdr:row>
      <xdr:rowOff>66675</xdr:rowOff>
    </xdr:from>
    <xdr:to>
      <xdr:col>1</xdr:col>
      <xdr:colOff>485854</xdr:colOff>
      <xdr:row>1</xdr:row>
      <xdr:rowOff>223684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66675"/>
          <a:ext cx="914479" cy="42370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76200</xdr:colOff>
      <xdr:row>13</xdr:row>
      <xdr:rowOff>265645</xdr:rowOff>
    </xdr:from>
    <xdr:ext cx="609653" cy="609653"/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9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0" y="7723720"/>
          <a:ext cx="609653" cy="609653"/>
        </a:xfrm>
        <a:prstGeom prst="rect">
          <a:avLst/>
        </a:prstGeom>
        <a:ln w="19050">
          <a:noFill/>
        </a:ln>
      </xdr:spPr>
    </xdr:pic>
    <xdr:clientData/>
  </xdr:oneCellAnchor>
  <xdr:twoCellAnchor editAs="oneCell">
    <xdr:from>
      <xdr:col>4</xdr:col>
      <xdr:colOff>952500</xdr:colOff>
      <xdr:row>12</xdr:row>
      <xdr:rowOff>143493</xdr:rowOff>
    </xdr:from>
    <xdr:to>
      <xdr:col>5</xdr:col>
      <xdr:colOff>173235</xdr:colOff>
      <xdr:row>12</xdr:row>
      <xdr:rowOff>753146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6077568"/>
          <a:ext cx="601860" cy="609653"/>
        </a:xfrm>
        <a:prstGeom prst="rect">
          <a:avLst/>
        </a:prstGeom>
        <a:ln w="19050">
          <a:noFill/>
        </a:ln>
      </xdr:spPr>
    </xdr:pic>
    <xdr:clientData/>
  </xdr:twoCellAnchor>
  <xdr:twoCellAnchor>
    <xdr:from>
      <xdr:col>3</xdr:col>
      <xdr:colOff>776236</xdr:colOff>
      <xdr:row>4</xdr:row>
      <xdr:rowOff>92048</xdr:rowOff>
    </xdr:from>
    <xdr:to>
      <xdr:col>3</xdr:col>
      <xdr:colOff>776236</xdr:colOff>
      <xdr:row>4</xdr:row>
      <xdr:rowOff>1381588</xdr:rowOff>
    </xdr:to>
    <xdr:cxnSp macro="">
      <xdr:nvCxnSpPr>
        <xdr:cNvPr id="4" name="Прямая со стрелкой 3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319286" y="968348"/>
          <a:ext cx="0" cy="1289540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735243</xdr:colOff>
      <xdr:row>4</xdr:row>
      <xdr:rowOff>1363892</xdr:rowOff>
    </xdr:from>
    <xdr:to>
      <xdr:col>3</xdr:col>
      <xdr:colOff>807243</xdr:colOff>
      <xdr:row>4</xdr:row>
      <xdr:rowOff>1435892</xdr:rowOff>
    </xdr:to>
    <xdr:sp macro="" textlink="">
      <xdr:nvSpPr>
        <xdr:cNvPr id="5" name="Овал 4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278293" y="224019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938714</xdr:colOff>
      <xdr:row>4</xdr:row>
      <xdr:rowOff>741997</xdr:rowOff>
    </xdr:from>
    <xdr:to>
      <xdr:col>3</xdr:col>
      <xdr:colOff>1010714</xdr:colOff>
      <xdr:row>4</xdr:row>
      <xdr:rowOff>813997</xdr:rowOff>
    </xdr:to>
    <xdr:sp macro="" textlink="">
      <xdr:nvSpPr>
        <xdr:cNvPr id="6" name="5-конечная звезда 5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481764" y="1618297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526682</xdr:colOff>
      <xdr:row>4</xdr:row>
      <xdr:rowOff>749324</xdr:rowOff>
    </xdr:from>
    <xdr:to>
      <xdr:col>3</xdr:col>
      <xdr:colOff>598682</xdr:colOff>
      <xdr:row>4</xdr:row>
      <xdr:rowOff>821324</xdr:rowOff>
    </xdr:to>
    <xdr:sp macro="" textlink="">
      <xdr:nvSpPr>
        <xdr:cNvPr id="7" name="5-конечная звезда 6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2069732" y="1625624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1157654</xdr:colOff>
      <xdr:row>4</xdr:row>
      <xdr:rowOff>776654</xdr:rowOff>
    </xdr:from>
    <xdr:to>
      <xdr:col>3</xdr:col>
      <xdr:colOff>1157654</xdr:colOff>
      <xdr:row>4</xdr:row>
      <xdr:rowOff>776654</xdr:rowOff>
    </xdr:to>
    <xdr:cxnSp macro="">
      <xdr:nvCxnSpPr>
        <xdr:cNvPr id="8" name="Прямая соединительная линия 7"/>
        <xdr:cNvCxnSpPr/>
      </xdr:nvCxnSpPr>
      <xdr:spPr>
        <a:xfrm>
          <a:off x="2700704" y="1652954"/>
          <a:ext cx="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291353</xdr:colOff>
      <xdr:row>0</xdr:row>
      <xdr:rowOff>145677</xdr:rowOff>
    </xdr:from>
    <xdr:to>
      <xdr:col>2</xdr:col>
      <xdr:colOff>242126</xdr:colOff>
      <xdr:row>2</xdr:row>
      <xdr:rowOff>121151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353" y="145677"/>
          <a:ext cx="912798" cy="413624"/>
        </a:xfrm>
        <a:prstGeom prst="rect">
          <a:avLst/>
        </a:prstGeom>
      </xdr:spPr>
    </xdr:pic>
    <xdr:clientData/>
  </xdr:twoCellAnchor>
  <xdr:twoCellAnchor editAs="oneCell">
    <xdr:from>
      <xdr:col>4</xdr:col>
      <xdr:colOff>504264</xdr:colOff>
      <xdr:row>4</xdr:row>
      <xdr:rowOff>113423</xdr:rowOff>
    </xdr:from>
    <xdr:to>
      <xdr:col>4</xdr:col>
      <xdr:colOff>1120720</xdr:colOff>
      <xdr:row>4</xdr:row>
      <xdr:rowOff>723076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8464" y="989723"/>
          <a:ext cx="616456" cy="609653"/>
        </a:xfrm>
        <a:prstGeom prst="rect">
          <a:avLst/>
        </a:prstGeom>
      </xdr:spPr>
    </xdr:pic>
    <xdr:clientData/>
  </xdr:twoCellAnchor>
  <xdr:twoCellAnchor editAs="oneCell">
    <xdr:from>
      <xdr:col>5</xdr:col>
      <xdr:colOff>129744</xdr:colOff>
      <xdr:row>4</xdr:row>
      <xdr:rowOff>100853</xdr:rowOff>
    </xdr:from>
    <xdr:to>
      <xdr:col>5</xdr:col>
      <xdr:colOff>744519</xdr:colOff>
      <xdr:row>4</xdr:row>
      <xdr:rowOff>710506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5069" y="977153"/>
          <a:ext cx="614775" cy="609653"/>
        </a:xfrm>
        <a:prstGeom prst="rect">
          <a:avLst/>
        </a:prstGeom>
        <a:ln w="19050">
          <a:noFill/>
        </a:ln>
      </xdr:spPr>
    </xdr:pic>
    <xdr:clientData/>
  </xdr:twoCellAnchor>
  <xdr:twoCellAnchor>
    <xdr:from>
      <xdr:col>3</xdr:col>
      <xdr:colOff>852767</xdr:colOff>
      <xdr:row>9</xdr:row>
      <xdr:rowOff>283250</xdr:rowOff>
    </xdr:from>
    <xdr:to>
      <xdr:col>3</xdr:col>
      <xdr:colOff>998442</xdr:colOff>
      <xdr:row>9</xdr:row>
      <xdr:rowOff>302559</xdr:rowOff>
    </xdr:to>
    <xdr:cxnSp macro="">
      <xdr:nvCxnSpPr>
        <xdr:cNvPr id="12" name="Прямая со стрелкой 11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 flipV="1">
          <a:off x="2395817" y="4702850"/>
          <a:ext cx="145675" cy="19309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1039250</xdr:colOff>
      <xdr:row>6</xdr:row>
      <xdr:rowOff>45008</xdr:rowOff>
    </xdr:from>
    <xdr:to>
      <xdr:col>3</xdr:col>
      <xdr:colOff>1208908</xdr:colOff>
      <xdr:row>6</xdr:row>
      <xdr:rowOff>435491</xdr:rowOff>
    </xdr:to>
    <xdr:sp macro="" textlink="">
      <xdr:nvSpPr>
        <xdr:cNvPr id="13" name="Полилиния 12"/>
        <xdr:cNvSpPr/>
      </xdr:nvSpPr>
      <xdr:spPr>
        <a:xfrm>
          <a:off x="2582300" y="2950133"/>
          <a:ext cx="169658" cy="390483"/>
        </a:xfrm>
        <a:custGeom>
          <a:avLst/>
          <a:gdLst>
            <a:gd name="connsiteX0" fmla="*/ 4018 w 530695"/>
            <a:gd name="connsiteY0" fmla="*/ 1221441 h 1221441"/>
            <a:gd name="connsiteX1" fmla="*/ 15224 w 530695"/>
            <a:gd name="connsiteY1" fmla="*/ 762000 h 1221441"/>
            <a:gd name="connsiteX2" fmla="*/ 127283 w 530695"/>
            <a:gd name="connsiteY2" fmla="*/ 515471 h 1221441"/>
            <a:gd name="connsiteX3" fmla="*/ 351401 w 530695"/>
            <a:gd name="connsiteY3" fmla="*/ 212912 h 1221441"/>
            <a:gd name="connsiteX4" fmla="*/ 530695 w 530695"/>
            <a:gd name="connsiteY4" fmla="*/ 0 h 122144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30695" h="1221441">
              <a:moveTo>
                <a:pt x="4018" y="1221441"/>
              </a:moveTo>
              <a:cubicBezTo>
                <a:pt x="-651" y="1050551"/>
                <a:pt x="-5320" y="879662"/>
                <a:pt x="15224" y="762000"/>
              </a:cubicBezTo>
              <a:cubicBezTo>
                <a:pt x="35768" y="644338"/>
                <a:pt x="71254" y="606986"/>
                <a:pt x="127283" y="515471"/>
              </a:cubicBezTo>
              <a:cubicBezTo>
                <a:pt x="183312" y="423956"/>
                <a:pt x="284166" y="298824"/>
                <a:pt x="351401" y="212912"/>
              </a:cubicBezTo>
              <a:cubicBezTo>
                <a:pt x="418636" y="127000"/>
                <a:pt x="474665" y="63500"/>
                <a:pt x="530695" y="0"/>
              </a:cubicBezTo>
            </a:path>
          </a:pathLst>
        </a:custGeom>
        <a:noFill/>
        <a:ln w="19050">
          <a:solidFill>
            <a:schemeClr val="tx1"/>
          </a:solidFill>
          <a:prstDash val="solid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1007071</xdr:colOff>
      <xdr:row>6</xdr:row>
      <xdr:rowOff>384023</xdr:rowOff>
    </xdr:from>
    <xdr:to>
      <xdr:col>3</xdr:col>
      <xdr:colOff>1079071</xdr:colOff>
      <xdr:row>6</xdr:row>
      <xdr:rowOff>456023</xdr:rowOff>
    </xdr:to>
    <xdr:sp macro="" textlink="">
      <xdr:nvSpPr>
        <xdr:cNvPr id="14" name="Овал 13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550121" y="3289148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871160</xdr:colOff>
      <xdr:row>7</xdr:row>
      <xdr:rowOff>58615</xdr:rowOff>
    </xdr:from>
    <xdr:to>
      <xdr:col>3</xdr:col>
      <xdr:colOff>1040818</xdr:colOff>
      <xdr:row>7</xdr:row>
      <xdr:rowOff>449098</xdr:rowOff>
    </xdr:to>
    <xdr:sp macro="" textlink="">
      <xdr:nvSpPr>
        <xdr:cNvPr id="15" name="Полилиния 14"/>
        <xdr:cNvSpPr/>
      </xdr:nvSpPr>
      <xdr:spPr>
        <a:xfrm flipH="1">
          <a:off x="2414210" y="3468565"/>
          <a:ext cx="169658" cy="390483"/>
        </a:xfrm>
        <a:custGeom>
          <a:avLst/>
          <a:gdLst>
            <a:gd name="connsiteX0" fmla="*/ 4018 w 530695"/>
            <a:gd name="connsiteY0" fmla="*/ 1221441 h 1221441"/>
            <a:gd name="connsiteX1" fmla="*/ 15224 w 530695"/>
            <a:gd name="connsiteY1" fmla="*/ 762000 h 1221441"/>
            <a:gd name="connsiteX2" fmla="*/ 127283 w 530695"/>
            <a:gd name="connsiteY2" fmla="*/ 515471 h 1221441"/>
            <a:gd name="connsiteX3" fmla="*/ 351401 w 530695"/>
            <a:gd name="connsiteY3" fmla="*/ 212912 h 1221441"/>
            <a:gd name="connsiteX4" fmla="*/ 530695 w 530695"/>
            <a:gd name="connsiteY4" fmla="*/ 0 h 122144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30695" h="1221441">
              <a:moveTo>
                <a:pt x="4018" y="1221441"/>
              </a:moveTo>
              <a:cubicBezTo>
                <a:pt x="-651" y="1050551"/>
                <a:pt x="-5320" y="879662"/>
                <a:pt x="15224" y="762000"/>
              </a:cubicBezTo>
              <a:cubicBezTo>
                <a:pt x="35768" y="644338"/>
                <a:pt x="71254" y="606986"/>
                <a:pt x="127283" y="515471"/>
              </a:cubicBezTo>
              <a:cubicBezTo>
                <a:pt x="183312" y="423956"/>
                <a:pt x="284166" y="298824"/>
                <a:pt x="351401" y="212912"/>
              </a:cubicBezTo>
              <a:cubicBezTo>
                <a:pt x="418636" y="127000"/>
                <a:pt x="474665" y="63500"/>
                <a:pt x="530695" y="0"/>
              </a:cubicBezTo>
            </a:path>
          </a:pathLst>
        </a:custGeom>
        <a:noFill/>
        <a:ln w="19050">
          <a:solidFill>
            <a:schemeClr val="tx1"/>
          </a:solidFill>
          <a:prstDash val="solid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1007071</xdr:colOff>
      <xdr:row>7</xdr:row>
      <xdr:rowOff>397630</xdr:rowOff>
    </xdr:from>
    <xdr:to>
      <xdr:col>3</xdr:col>
      <xdr:colOff>1079071</xdr:colOff>
      <xdr:row>7</xdr:row>
      <xdr:rowOff>469630</xdr:rowOff>
    </xdr:to>
    <xdr:sp macro="" textlink="">
      <xdr:nvSpPr>
        <xdr:cNvPr id="16" name="Овал 15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550121" y="3807580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1015125</xdr:colOff>
      <xdr:row>11</xdr:row>
      <xdr:rowOff>399217</xdr:rowOff>
    </xdr:from>
    <xdr:to>
      <xdr:col>3</xdr:col>
      <xdr:colOff>1087125</xdr:colOff>
      <xdr:row>11</xdr:row>
      <xdr:rowOff>471217</xdr:rowOff>
    </xdr:to>
    <xdr:sp macro="" textlink="">
      <xdr:nvSpPr>
        <xdr:cNvPr id="17" name="Овал 16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558175" y="5828467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882366</xdr:colOff>
      <xdr:row>11</xdr:row>
      <xdr:rowOff>47410</xdr:rowOff>
    </xdr:from>
    <xdr:to>
      <xdr:col>3</xdr:col>
      <xdr:colOff>1052024</xdr:colOff>
      <xdr:row>11</xdr:row>
      <xdr:rowOff>437893</xdr:rowOff>
    </xdr:to>
    <xdr:sp macro="" textlink="">
      <xdr:nvSpPr>
        <xdr:cNvPr id="18" name="Полилиния 17"/>
        <xdr:cNvSpPr/>
      </xdr:nvSpPr>
      <xdr:spPr>
        <a:xfrm flipH="1">
          <a:off x="2425416" y="5476660"/>
          <a:ext cx="169658" cy="390483"/>
        </a:xfrm>
        <a:custGeom>
          <a:avLst/>
          <a:gdLst>
            <a:gd name="connsiteX0" fmla="*/ 4018 w 530695"/>
            <a:gd name="connsiteY0" fmla="*/ 1221441 h 1221441"/>
            <a:gd name="connsiteX1" fmla="*/ 15224 w 530695"/>
            <a:gd name="connsiteY1" fmla="*/ 762000 h 1221441"/>
            <a:gd name="connsiteX2" fmla="*/ 127283 w 530695"/>
            <a:gd name="connsiteY2" fmla="*/ 515471 h 1221441"/>
            <a:gd name="connsiteX3" fmla="*/ 351401 w 530695"/>
            <a:gd name="connsiteY3" fmla="*/ 212912 h 1221441"/>
            <a:gd name="connsiteX4" fmla="*/ 530695 w 530695"/>
            <a:gd name="connsiteY4" fmla="*/ 0 h 122144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30695" h="1221441">
              <a:moveTo>
                <a:pt x="4018" y="1221441"/>
              </a:moveTo>
              <a:cubicBezTo>
                <a:pt x="-651" y="1050551"/>
                <a:pt x="-5320" y="879662"/>
                <a:pt x="15224" y="762000"/>
              </a:cubicBezTo>
              <a:cubicBezTo>
                <a:pt x="35768" y="644338"/>
                <a:pt x="71254" y="606986"/>
                <a:pt x="127283" y="515471"/>
              </a:cubicBezTo>
              <a:cubicBezTo>
                <a:pt x="183312" y="423956"/>
                <a:pt x="284166" y="298824"/>
                <a:pt x="351401" y="212912"/>
              </a:cubicBezTo>
              <a:cubicBezTo>
                <a:pt x="418636" y="127000"/>
                <a:pt x="474665" y="63500"/>
                <a:pt x="530695" y="0"/>
              </a:cubicBezTo>
            </a:path>
          </a:pathLst>
        </a:custGeom>
        <a:noFill/>
        <a:ln w="19050">
          <a:solidFill>
            <a:schemeClr val="tx1"/>
          </a:solidFill>
          <a:prstDash val="solid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100853</xdr:colOff>
      <xdr:row>12</xdr:row>
      <xdr:rowOff>762199</xdr:rowOff>
    </xdr:from>
    <xdr:to>
      <xdr:col>3</xdr:col>
      <xdr:colOff>1482813</xdr:colOff>
      <xdr:row>12</xdr:row>
      <xdr:rowOff>762199</xdr:rowOff>
    </xdr:to>
    <xdr:cxnSp macro="">
      <xdr:nvCxnSpPr>
        <xdr:cNvPr id="19" name="Прямая со стрелкой 18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>
          <a:off x="1643903" y="6696274"/>
          <a:ext cx="1381960" cy="0"/>
        </a:xfrm>
        <a:prstGeom prst="straightConnector1">
          <a:avLst/>
        </a:prstGeom>
        <a:ln w="19050"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776775</xdr:colOff>
      <xdr:row>12</xdr:row>
      <xdr:rowOff>1400424</xdr:rowOff>
    </xdr:from>
    <xdr:to>
      <xdr:col>3</xdr:col>
      <xdr:colOff>848775</xdr:colOff>
      <xdr:row>12</xdr:row>
      <xdr:rowOff>1472424</xdr:rowOff>
    </xdr:to>
    <xdr:sp macro="" textlink="">
      <xdr:nvSpPr>
        <xdr:cNvPr id="20" name="Овал 1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rot="16200000">
          <a:off x="2319825" y="7334499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814417</xdr:colOff>
      <xdr:row>12</xdr:row>
      <xdr:rowOff>762000</xdr:rowOff>
    </xdr:from>
    <xdr:to>
      <xdr:col>3</xdr:col>
      <xdr:colOff>814417</xdr:colOff>
      <xdr:row>12</xdr:row>
      <xdr:rowOff>1466021</xdr:rowOff>
    </xdr:to>
    <xdr:cxnSp macro="">
      <xdr:nvCxnSpPr>
        <xdr:cNvPr id="21" name="Прямая соединительная линия 20"/>
        <xdr:cNvCxnSpPr/>
      </xdr:nvCxnSpPr>
      <xdr:spPr>
        <a:xfrm rot="16200000" flipH="1">
          <a:off x="2005456" y="7048086"/>
          <a:ext cx="704021" cy="0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814418</xdr:colOff>
      <xdr:row>12</xdr:row>
      <xdr:rowOff>67237</xdr:rowOff>
    </xdr:from>
    <xdr:to>
      <xdr:col>3</xdr:col>
      <xdr:colOff>814418</xdr:colOff>
      <xdr:row>12</xdr:row>
      <xdr:rowOff>771258</xdr:rowOff>
    </xdr:to>
    <xdr:cxnSp macro="">
      <xdr:nvCxnSpPr>
        <xdr:cNvPr id="22" name="Прямая соединительная линия 21"/>
        <xdr:cNvCxnSpPr/>
      </xdr:nvCxnSpPr>
      <xdr:spPr>
        <a:xfrm rot="16200000" flipH="1">
          <a:off x="2005457" y="6353323"/>
          <a:ext cx="704021" cy="0"/>
        </a:xfrm>
        <a:prstGeom prst="line">
          <a:avLst/>
        </a:prstGeom>
        <a:ln w="19050">
          <a:solidFill>
            <a:schemeClr val="tx1"/>
          </a:solidFill>
          <a:prstDash val="sysDot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983538</xdr:colOff>
      <xdr:row>12</xdr:row>
      <xdr:rowOff>862867</xdr:rowOff>
    </xdr:from>
    <xdr:to>
      <xdr:col>3</xdr:col>
      <xdr:colOff>1055538</xdr:colOff>
      <xdr:row>12</xdr:row>
      <xdr:rowOff>934867</xdr:rowOff>
    </xdr:to>
    <xdr:sp macro="" textlink="">
      <xdr:nvSpPr>
        <xdr:cNvPr id="23" name="5-конечная звезда 22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526588" y="6796942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571506</xdr:colOff>
      <xdr:row>12</xdr:row>
      <xdr:rowOff>870194</xdr:rowOff>
    </xdr:from>
    <xdr:to>
      <xdr:col>3</xdr:col>
      <xdr:colOff>643506</xdr:colOff>
      <xdr:row>12</xdr:row>
      <xdr:rowOff>942194</xdr:rowOff>
    </xdr:to>
    <xdr:sp macro="" textlink="">
      <xdr:nvSpPr>
        <xdr:cNvPr id="24" name="5-конечная звезда 23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2114556" y="6804269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821060</xdr:colOff>
      <xdr:row>13</xdr:row>
      <xdr:rowOff>80842</xdr:rowOff>
    </xdr:from>
    <xdr:to>
      <xdr:col>3</xdr:col>
      <xdr:colOff>821060</xdr:colOff>
      <xdr:row>13</xdr:row>
      <xdr:rowOff>1370382</xdr:rowOff>
    </xdr:to>
    <xdr:cxnSp macro="">
      <xdr:nvCxnSpPr>
        <xdr:cNvPr id="25" name="Прямая со стрелкой 24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364110" y="7538917"/>
          <a:ext cx="0" cy="1289540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780067</xdr:colOff>
      <xdr:row>13</xdr:row>
      <xdr:rowOff>1352686</xdr:rowOff>
    </xdr:from>
    <xdr:to>
      <xdr:col>3</xdr:col>
      <xdr:colOff>852067</xdr:colOff>
      <xdr:row>13</xdr:row>
      <xdr:rowOff>1424686</xdr:rowOff>
    </xdr:to>
    <xdr:sp macro="" textlink="">
      <xdr:nvSpPr>
        <xdr:cNvPr id="26" name="Овал 25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323117" y="8810761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983538</xdr:colOff>
      <xdr:row>13</xdr:row>
      <xdr:rowOff>730791</xdr:rowOff>
    </xdr:from>
    <xdr:to>
      <xdr:col>3</xdr:col>
      <xdr:colOff>1055538</xdr:colOff>
      <xdr:row>13</xdr:row>
      <xdr:rowOff>802791</xdr:rowOff>
    </xdr:to>
    <xdr:sp macro="" textlink="">
      <xdr:nvSpPr>
        <xdr:cNvPr id="27" name="5-конечная звезда 26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526588" y="8188866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571506</xdr:colOff>
      <xdr:row>13</xdr:row>
      <xdr:rowOff>738118</xdr:rowOff>
    </xdr:from>
    <xdr:to>
      <xdr:col>3</xdr:col>
      <xdr:colOff>643506</xdr:colOff>
      <xdr:row>13</xdr:row>
      <xdr:rowOff>810118</xdr:rowOff>
    </xdr:to>
    <xdr:sp macro="" textlink="">
      <xdr:nvSpPr>
        <xdr:cNvPr id="28" name="5-конечная звезда 27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2114556" y="8196193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1202478</xdr:colOff>
      <xdr:row>13</xdr:row>
      <xdr:rowOff>765448</xdr:rowOff>
    </xdr:from>
    <xdr:to>
      <xdr:col>3</xdr:col>
      <xdr:colOff>1202478</xdr:colOff>
      <xdr:row>13</xdr:row>
      <xdr:rowOff>765448</xdr:rowOff>
    </xdr:to>
    <xdr:cxnSp macro="">
      <xdr:nvCxnSpPr>
        <xdr:cNvPr id="29" name="Прямая соединительная линия 28"/>
        <xdr:cNvCxnSpPr/>
      </xdr:nvCxnSpPr>
      <xdr:spPr>
        <a:xfrm>
          <a:off x="2745528" y="8223523"/>
          <a:ext cx="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998559</xdr:colOff>
      <xdr:row>10</xdr:row>
      <xdr:rowOff>399217</xdr:rowOff>
    </xdr:from>
    <xdr:to>
      <xdr:col>3</xdr:col>
      <xdr:colOff>1070559</xdr:colOff>
      <xdr:row>10</xdr:row>
      <xdr:rowOff>471217</xdr:rowOff>
    </xdr:to>
    <xdr:sp macro="" textlink="">
      <xdr:nvSpPr>
        <xdr:cNvPr id="30" name="Овал 29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541609" y="532364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981993</xdr:colOff>
      <xdr:row>10</xdr:row>
      <xdr:rowOff>399217</xdr:rowOff>
    </xdr:from>
    <xdr:to>
      <xdr:col>3</xdr:col>
      <xdr:colOff>1053993</xdr:colOff>
      <xdr:row>10</xdr:row>
      <xdr:rowOff>471217</xdr:rowOff>
    </xdr:to>
    <xdr:sp macro="" textlink="">
      <xdr:nvSpPr>
        <xdr:cNvPr id="31" name="Овал 30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525043" y="532364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1039250</xdr:colOff>
      <xdr:row>5</xdr:row>
      <xdr:rowOff>33801</xdr:rowOff>
    </xdr:from>
    <xdr:to>
      <xdr:col>3</xdr:col>
      <xdr:colOff>1208908</xdr:colOff>
      <xdr:row>5</xdr:row>
      <xdr:rowOff>424284</xdr:rowOff>
    </xdr:to>
    <xdr:sp macro="" textlink="">
      <xdr:nvSpPr>
        <xdr:cNvPr id="32" name="Полилиния 31"/>
        <xdr:cNvSpPr/>
      </xdr:nvSpPr>
      <xdr:spPr>
        <a:xfrm>
          <a:off x="2582300" y="2434101"/>
          <a:ext cx="169658" cy="390483"/>
        </a:xfrm>
        <a:custGeom>
          <a:avLst/>
          <a:gdLst>
            <a:gd name="connsiteX0" fmla="*/ 4018 w 530695"/>
            <a:gd name="connsiteY0" fmla="*/ 1221441 h 1221441"/>
            <a:gd name="connsiteX1" fmla="*/ 15224 w 530695"/>
            <a:gd name="connsiteY1" fmla="*/ 762000 h 1221441"/>
            <a:gd name="connsiteX2" fmla="*/ 127283 w 530695"/>
            <a:gd name="connsiteY2" fmla="*/ 515471 h 1221441"/>
            <a:gd name="connsiteX3" fmla="*/ 351401 w 530695"/>
            <a:gd name="connsiteY3" fmla="*/ 212912 h 1221441"/>
            <a:gd name="connsiteX4" fmla="*/ 530695 w 530695"/>
            <a:gd name="connsiteY4" fmla="*/ 0 h 122144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30695" h="1221441">
              <a:moveTo>
                <a:pt x="4018" y="1221441"/>
              </a:moveTo>
              <a:cubicBezTo>
                <a:pt x="-651" y="1050551"/>
                <a:pt x="-5320" y="879662"/>
                <a:pt x="15224" y="762000"/>
              </a:cubicBezTo>
              <a:cubicBezTo>
                <a:pt x="35768" y="644338"/>
                <a:pt x="71254" y="606986"/>
                <a:pt x="127283" y="515471"/>
              </a:cubicBezTo>
              <a:cubicBezTo>
                <a:pt x="183312" y="423956"/>
                <a:pt x="284166" y="298824"/>
                <a:pt x="351401" y="212912"/>
              </a:cubicBezTo>
              <a:cubicBezTo>
                <a:pt x="418636" y="127000"/>
                <a:pt x="474665" y="63500"/>
                <a:pt x="530695" y="0"/>
              </a:cubicBezTo>
            </a:path>
          </a:pathLst>
        </a:custGeom>
        <a:noFill/>
        <a:ln w="19050">
          <a:solidFill>
            <a:schemeClr val="tx1"/>
          </a:solidFill>
          <a:prstDash val="solid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1007071</xdr:colOff>
      <xdr:row>5</xdr:row>
      <xdr:rowOff>372816</xdr:rowOff>
    </xdr:from>
    <xdr:to>
      <xdr:col>3</xdr:col>
      <xdr:colOff>1079071</xdr:colOff>
      <xdr:row>5</xdr:row>
      <xdr:rowOff>444816</xdr:rowOff>
    </xdr:to>
    <xdr:sp macro="" textlink="">
      <xdr:nvSpPr>
        <xdr:cNvPr id="33" name="Овал 32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550121" y="2773116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871160</xdr:colOff>
      <xdr:row>8</xdr:row>
      <xdr:rowOff>58615</xdr:rowOff>
    </xdr:from>
    <xdr:to>
      <xdr:col>3</xdr:col>
      <xdr:colOff>1040818</xdr:colOff>
      <xdr:row>8</xdr:row>
      <xdr:rowOff>449098</xdr:rowOff>
    </xdr:to>
    <xdr:sp macro="" textlink="">
      <xdr:nvSpPr>
        <xdr:cNvPr id="34" name="Полилиния 33"/>
        <xdr:cNvSpPr/>
      </xdr:nvSpPr>
      <xdr:spPr>
        <a:xfrm flipH="1">
          <a:off x="2414210" y="3973390"/>
          <a:ext cx="169658" cy="390483"/>
        </a:xfrm>
        <a:custGeom>
          <a:avLst/>
          <a:gdLst>
            <a:gd name="connsiteX0" fmla="*/ 4018 w 530695"/>
            <a:gd name="connsiteY0" fmla="*/ 1221441 h 1221441"/>
            <a:gd name="connsiteX1" fmla="*/ 15224 w 530695"/>
            <a:gd name="connsiteY1" fmla="*/ 762000 h 1221441"/>
            <a:gd name="connsiteX2" fmla="*/ 127283 w 530695"/>
            <a:gd name="connsiteY2" fmla="*/ 515471 h 1221441"/>
            <a:gd name="connsiteX3" fmla="*/ 351401 w 530695"/>
            <a:gd name="connsiteY3" fmla="*/ 212912 h 1221441"/>
            <a:gd name="connsiteX4" fmla="*/ 530695 w 530695"/>
            <a:gd name="connsiteY4" fmla="*/ 0 h 122144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30695" h="1221441">
              <a:moveTo>
                <a:pt x="4018" y="1221441"/>
              </a:moveTo>
              <a:cubicBezTo>
                <a:pt x="-651" y="1050551"/>
                <a:pt x="-5320" y="879662"/>
                <a:pt x="15224" y="762000"/>
              </a:cubicBezTo>
              <a:cubicBezTo>
                <a:pt x="35768" y="644338"/>
                <a:pt x="71254" y="606986"/>
                <a:pt x="127283" y="515471"/>
              </a:cubicBezTo>
              <a:cubicBezTo>
                <a:pt x="183312" y="423956"/>
                <a:pt x="284166" y="298824"/>
                <a:pt x="351401" y="212912"/>
              </a:cubicBezTo>
              <a:cubicBezTo>
                <a:pt x="418636" y="127000"/>
                <a:pt x="474665" y="63500"/>
                <a:pt x="530695" y="0"/>
              </a:cubicBezTo>
            </a:path>
          </a:pathLst>
        </a:custGeom>
        <a:noFill/>
        <a:ln w="19050">
          <a:solidFill>
            <a:schemeClr val="tx1"/>
          </a:solidFill>
          <a:prstDash val="solid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1007071</xdr:colOff>
      <xdr:row>8</xdr:row>
      <xdr:rowOff>397630</xdr:rowOff>
    </xdr:from>
    <xdr:to>
      <xdr:col>3</xdr:col>
      <xdr:colOff>1079071</xdr:colOff>
      <xdr:row>8</xdr:row>
      <xdr:rowOff>469630</xdr:rowOff>
    </xdr:to>
    <xdr:sp macro="" textlink="">
      <xdr:nvSpPr>
        <xdr:cNvPr id="35" name="Овал 34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550121" y="4312405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1005632</xdr:colOff>
      <xdr:row>9</xdr:row>
      <xdr:rowOff>67420</xdr:rowOff>
    </xdr:from>
    <xdr:to>
      <xdr:col>3</xdr:col>
      <xdr:colOff>1054473</xdr:colOff>
      <xdr:row>9</xdr:row>
      <xdr:rowOff>457903</xdr:rowOff>
    </xdr:to>
    <xdr:sp macro="" textlink="">
      <xdr:nvSpPr>
        <xdr:cNvPr id="36" name="Полилиния 35"/>
        <xdr:cNvSpPr/>
      </xdr:nvSpPr>
      <xdr:spPr>
        <a:xfrm>
          <a:off x="2548682" y="4487020"/>
          <a:ext cx="48841" cy="390483"/>
        </a:xfrm>
        <a:custGeom>
          <a:avLst/>
          <a:gdLst>
            <a:gd name="connsiteX0" fmla="*/ 4018 w 530695"/>
            <a:gd name="connsiteY0" fmla="*/ 1221441 h 1221441"/>
            <a:gd name="connsiteX1" fmla="*/ 15224 w 530695"/>
            <a:gd name="connsiteY1" fmla="*/ 762000 h 1221441"/>
            <a:gd name="connsiteX2" fmla="*/ 127283 w 530695"/>
            <a:gd name="connsiteY2" fmla="*/ 515471 h 1221441"/>
            <a:gd name="connsiteX3" fmla="*/ 351401 w 530695"/>
            <a:gd name="connsiteY3" fmla="*/ 212912 h 1221441"/>
            <a:gd name="connsiteX4" fmla="*/ 530695 w 530695"/>
            <a:gd name="connsiteY4" fmla="*/ 0 h 122144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30695" h="1221441">
              <a:moveTo>
                <a:pt x="4018" y="1221441"/>
              </a:moveTo>
              <a:cubicBezTo>
                <a:pt x="-651" y="1050551"/>
                <a:pt x="-5320" y="879662"/>
                <a:pt x="15224" y="762000"/>
              </a:cubicBezTo>
              <a:cubicBezTo>
                <a:pt x="35768" y="644338"/>
                <a:pt x="71254" y="606986"/>
                <a:pt x="127283" y="515471"/>
              </a:cubicBezTo>
              <a:cubicBezTo>
                <a:pt x="183312" y="423956"/>
                <a:pt x="284166" y="298824"/>
                <a:pt x="351401" y="212912"/>
              </a:cubicBezTo>
              <a:cubicBezTo>
                <a:pt x="418636" y="127000"/>
                <a:pt x="474665" y="63500"/>
                <a:pt x="530695" y="0"/>
              </a:cubicBezTo>
            </a:path>
          </a:pathLst>
        </a:custGeom>
        <a:noFill/>
        <a:ln w="19050">
          <a:solidFill>
            <a:schemeClr val="tx1"/>
          </a:solidFill>
          <a:prstDash val="solid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973453</xdr:colOff>
      <xdr:row>9</xdr:row>
      <xdr:rowOff>406435</xdr:rowOff>
    </xdr:from>
    <xdr:to>
      <xdr:col>3</xdr:col>
      <xdr:colOff>1045453</xdr:colOff>
      <xdr:row>9</xdr:row>
      <xdr:rowOff>478435</xdr:rowOff>
    </xdr:to>
    <xdr:sp macro="" textlink="">
      <xdr:nvSpPr>
        <xdr:cNvPr id="37" name="Овал 36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516503" y="4826035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1026208</xdr:colOff>
      <xdr:row>10</xdr:row>
      <xdr:rowOff>49695</xdr:rowOff>
    </xdr:from>
    <xdr:to>
      <xdr:col>3</xdr:col>
      <xdr:colOff>1026208</xdr:colOff>
      <xdr:row>10</xdr:row>
      <xdr:rowOff>430695</xdr:rowOff>
    </xdr:to>
    <xdr:cxnSp macro="">
      <xdr:nvCxnSpPr>
        <xdr:cNvPr id="38" name="Прямая соединительная линия 37"/>
        <xdr:cNvCxnSpPr/>
      </xdr:nvCxnSpPr>
      <xdr:spPr>
        <a:xfrm flipV="1">
          <a:off x="2569258" y="4974120"/>
          <a:ext cx="0" cy="381000"/>
        </a:xfrm>
        <a:prstGeom prst="line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1212138</xdr:colOff>
      <xdr:row>13</xdr:row>
      <xdr:rowOff>730791</xdr:rowOff>
    </xdr:from>
    <xdr:to>
      <xdr:col>3</xdr:col>
      <xdr:colOff>1284138</xdr:colOff>
      <xdr:row>13</xdr:row>
      <xdr:rowOff>802791</xdr:rowOff>
    </xdr:to>
    <xdr:sp macro="" textlink="">
      <xdr:nvSpPr>
        <xdr:cNvPr id="39" name="5-конечная звезда 38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755188" y="8188866"/>
          <a:ext cx="72000" cy="72000"/>
        </a:xfrm>
        <a:prstGeom prst="star5">
          <a:avLst/>
        </a:prstGeom>
        <a:noFill/>
        <a:ln w="19050">
          <a:solidFill>
            <a:srgbClr val="0070C0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742950</xdr:colOff>
      <xdr:row>13</xdr:row>
      <xdr:rowOff>38100</xdr:rowOff>
    </xdr:from>
    <xdr:to>
      <xdr:col>6</xdr:col>
      <xdr:colOff>207209</xdr:colOff>
      <xdr:row>13</xdr:row>
      <xdr:rowOff>1089994</xdr:rowOff>
    </xdr:to>
    <xdr:grpSp>
      <xdr:nvGrpSpPr>
        <xdr:cNvPr id="52" name="Группа 51"/>
        <xdr:cNvGrpSpPr/>
      </xdr:nvGrpSpPr>
      <xdr:grpSpPr>
        <a:xfrm>
          <a:off x="3867150" y="7496175"/>
          <a:ext cx="1959809" cy="1051894"/>
          <a:chOff x="3902868" y="7562278"/>
          <a:chExt cx="1958612" cy="1051894"/>
        </a:xfrm>
      </xdr:grpSpPr>
      <xdr:sp macro="" textlink="">
        <xdr:nvSpPr>
          <xdr:cNvPr id="53" name="Прямоугольник 52"/>
          <xdr:cNvSpPr/>
        </xdr:nvSpPr>
        <xdr:spPr>
          <a:xfrm>
            <a:off x="3902868" y="7585472"/>
            <a:ext cx="1703935" cy="1019175"/>
          </a:xfrm>
          <a:prstGeom prst="rect">
            <a:avLst/>
          </a:prstGeom>
          <a:solidFill>
            <a:srgbClr val="0070C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54" name="Прямая со стрелкой 53"/>
          <xdr:cNvCxnSpPr/>
        </xdr:nvCxnSpPr>
        <xdr:spPr>
          <a:xfrm flipV="1">
            <a:off x="4045744" y="7633098"/>
            <a:ext cx="0" cy="981074"/>
          </a:xfrm>
          <a:prstGeom prst="straightConnector1">
            <a:avLst/>
          </a:prstGeom>
          <a:ln w="63500">
            <a:solidFill>
              <a:schemeClr val="bg1"/>
            </a:solidFill>
            <a:tailEnd type="triangl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5" name="Полилиния 54"/>
          <xdr:cNvSpPr/>
        </xdr:nvSpPr>
        <xdr:spPr>
          <a:xfrm>
            <a:off x="4031819" y="8299433"/>
            <a:ext cx="602761" cy="248478"/>
          </a:xfrm>
          <a:custGeom>
            <a:avLst/>
            <a:gdLst>
              <a:gd name="connsiteX0" fmla="*/ 0 w 496957"/>
              <a:gd name="connsiteY0" fmla="*/ 248478 h 248478"/>
              <a:gd name="connsiteX1" fmla="*/ 306457 w 496957"/>
              <a:gd name="connsiteY1" fmla="*/ 0 h 248478"/>
              <a:gd name="connsiteX2" fmla="*/ 496957 w 496957"/>
              <a:gd name="connsiteY2" fmla="*/ 0 h 24847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496957" h="248478">
                <a:moveTo>
                  <a:pt x="0" y="248478"/>
                </a:moveTo>
                <a:lnTo>
                  <a:pt x="306457" y="0"/>
                </a:lnTo>
                <a:lnTo>
                  <a:pt x="496957" y="0"/>
                </a:lnTo>
              </a:path>
            </a:pathLst>
          </a:custGeom>
          <a:noFill/>
          <a:ln w="63500">
            <a:solidFill>
              <a:schemeClr val="bg1"/>
            </a:solidFill>
            <a:tailEnd type="triangle" w="med" len="sm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56" name="Дуга 55"/>
          <xdr:cNvSpPr/>
        </xdr:nvSpPr>
        <xdr:spPr>
          <a:xfrm>
            <a:off x="4025141" y="8067519"/>
            <a:ext cx="356152" cy="356152"/>
          </a:xfrm>
          <a:prstGeom prst="arc">
            <a:avLst>
              <a:gd name="adj1" fmla="val 15033602"/>
              <a:gd name="adj2" fmla="val 1194360"/>
            </a:avLst>
          </a:prstGeom>
          <a:noFill/>
          <a:ln w="63500">
            <a:solidFill>
              <a:schemeClr val="bg1"/>
            </a:solidFill>
            <a:headEnd type="triangle" w="med" len="sm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57" name="TextBox 56"/>
          <xdr:cNvSpPr txBox="1"/>
        </xdr:nvSpPr>
        <xdr:spPr>
          <a:xfrm>
            <a:off x="4415948" y="7562278"/>
            <a:ext cx="1008407" cy="4058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000" b="1">
                <a:solidFill>
                  <a:schemeClr val="bg1"/>
                </a:solidFill>
              </a:rPr>
              <a:t>РОСЛАВЛЬ</a:t>
            </a:r>
          </a:p>
          <a:p>
            <a:r>
              <a:rPr lang="ru-RU" sz="1000" b="1">
                <a:solidFill>
                  <a:schemeClr val="bg1"/>
                </a:solidFill>
              </a:rPr>
              <a:t>БРЯНСК</a:t>
            </a:r>
          </a:p>
        </xdr:txBody>
      </xdr:sp>
      <xdr:sp macro="" textlink="">
        <xdr:nvSpPr>
          <xdr:cNvPr id="58" name="TextBox 57"/>
          <xdr:cNvSpPr txBox="1"/>
        </xdr:nvSpPr>
        <xdr:spPr>
          <a:xfrm>
            <a:off x="4645187" y="7933987"/>
            <a:ext cx="1008590" cy="2650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000" b="1">
                <a:solidFill>
                  <a:schemeClr val="bg1"/>
                </a:solidFill>
              </a:rPr>
              <a:t>КАРДЫМОВО</a:t>
            </a:r>
          </a:p>
        </xdr:txBody>
      </xdr:sp>
      <xdr:sp macro="" textlink="">
        <xdr:nvSpPr>
          <xdr:cNvPr id="59" name="TextBox 58"/>
          <xdr:cNvSpPr txBox="1"/>
        </xdr:nvSpPr>
        <xdr:spPr>
          <a:xfrm>
            <a:off x="4855920" y="8158627"/>
            <a:ext cx="1005560" cy="2650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000" b="1">
                <a:solidFill>
                  <a:schemeClr val="bg1"/>
                </a:solidFill>
              </a:rPr>
              <a:t>СМОЛЕНСК</a:t>
            </a:r>
          </a:p>
        </xdr:txBody>
      </xdr:sp>
      <xdr:sp macro="" textlink="">
        <xdr:nvSpPr>
          <xdr:cNvPr id="60" name="Скругленный прямоугольник 59"/>
          <xdr:cNvSpPr/>
        </xdr:nvSpPr>
        <xdr:spPr>
          <a:xfrm>
            <a:off x="4188490" y="7624907"/>
            <a:ext cx="281002" cy="134339"/>
          </a:xfrm>
          <a:prstGeom prst="roundRect">
            <a:avLst/>
          </a:prstGeom>
          <a:noFill/>
          <a:ln w="19050">
            <a:solidFill>
              <a:schemeClr val="bg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ru-RU" sz="800" b="1"/>
              <a:t>А141</a:t>
            </a:r>
          </a:p>
        </xdr:txBody>
      </xdr:sp>
      <xdr:sp macro="" textlink="">
        <xdr:nvSpPr>
          <xdr:cNvPr id="61" name="Скругленный прямоугольник 60"/>
          <xdr:cNvSpPr/>
        </xdr:nvSpPr>
        <xdr:spPr>
          <a:xfrm>
            <a:off x="4406868" y="7991968"/>
            <a:ext cx="282163" cy="134339"/>
          </a:xfrm>
          <a:prstGeom prst="roundRect">
            <a:avLst/>
          </a:prstGeom>
          <a:noFill/>
          <a:ln w="19050">
            <a:solidFill>
              <a:schemeClr val="bg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ru-RU" sz="800" b="1"/>
              <a:t>Р134</a:t>
            </a:r>
          </a:p>
        </xdr:txBody>
      </xdr:sp>
      <xdr:sp macro="" textlink="">
        <xdr:nvSpPr>
          <xdr:cNvPr id="62" name="Скругленный прямоугольник 61"/>
          <xdr:cNvSpPr/>
        </xdr:nvSpPr>
        <xdr:spPr>
          <a:xfrm>
            <a:off x="4649643" y="8214993"/>
            <a:ext cx="281002" cy="134339"/>
          </a:xfrm>
          <a:prstGeom prst="roundRect">
            <a:avLst/>
          </a:prstGeom>
          <a:noFill/>
          <a:ln w="19050">
            <a:solidFill>
              <a:schemeClr val="bg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ru-RU" sz="800" b="1"/>
              <a:t>Р134</a:t>
            </a:r>
          </a:p>
        </xdr:txBody>
      </xdr:sp>
      <xdr:sp macro="" textlink="">
        <xdr:nvSpPr>
          <xdr:cNvPr id="63" name="Скругленный прямоугольник 62"/>
          <xdr:cNvSpPr/>
        </xdr:nvSpPr>
        <xdr:spPr>
          <a:xfrm>
            <a:off x="4661143" y="8451956"/>
            <a:ext cx="367061" cy="134339"/>
          </a:xfrm>
          <a:prstGeom prst="roundRect">
            <a:avLst/>
          </a:prstGeom>
          <a:noFill/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ru-RU" sz="800" b="1"/>
              <a:t>300 м</a:t>
            </a:r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119267</xdr:colOff>
      <xdr:row>4</xdr:row>
      <xdr:rowOff>294557</xdr:rowOff>
    </xdr:from>
    <xdr:to>
      <xdr:col>4</xdr:col>
      <xdr:colOff>745327</xdr:colOff>
      <xdr:row>4</xdr:row>
      <xdr:rowOff>904210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3467" y="1170857"/>
          <a:ext cx="626060" cy="609653"/>
        </a:xfrm>
        <a:prstGeom prst="rect">
          <a:avLst/>
        </a:prstGeom>
      </xdr:spPr>
    </xdr:pic>
    <xdr:clientData/>
  </xdr:twoCellAnchor>
  <xdr:twoCellAnchor>
    <xdr:from>
      <xdr:col>3</xdr:col>
      <xdr:colOff>832265</xdr:colOff>
      <xdr:row>4</xdr:row>
      <xdr:rowOff>78441</xdr:rowOff>
    </xdr:from>
    <xdr:to>
      <xdr:col>3</xdr:col>
      <xdr:colOff>832265</xdr:colOff>
      <xdr:row>4</xdr:row>
      <xdr:rowOff>1390397</xdr:rowOff>
    </xdr:to>
    <xdr:cxnSp macro="">
      <xdr:nvCxnSpPr>
        <xdr:cNvPr id="3" name="Прямая со стрелкой 2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375315" y="954741"/>
          <a:ext cx="0" cy="1311956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791272</xdr:colOff>
      <xdr:row>4</xdr:row>
      <xdr:rowOff>1372698</xdr:rowOff>
    </xdr:from>
    <xdr:to>
      <xdr:col>3</xdr:col>
      <xdr:colOff>863272</xdr:colOff>
      <xdr:row>4</xdr:row>
      <xdr:rowOff>1444698</xdr:rowOff>
    </xdr:to>
    <xdr:sp macro="" textlink="">
      <xdr:nvSpPr>
        <xdr:cNvPr id="4" name="Овал 3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334322" y="2248998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1005944</xdr:colOff>
      <xdr:row>4</xdr:row>
      <xdr:rowOff>716685</xdr:rowOff>
    </xdr:from>
    <xdr:to>
      <xdr:col>3</xdr:col>
      <xdr:colOff>1077944</xdr:colOff>
      <xdr:row>4</xdr:row>
      <xdr:rowOff>788685</xdr:rowOff>
    </xdr:to>
    <xdr:sp macro="" textlink="">
      <xdr:nvSpPr>
        <xdr:cNvPr id="5" name="5-конечная звезда 4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548994" y="1592985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571500</xdr:colOff>
      <xdr:row>4</xdr:row>
      <xdr:rowOff>724012</xdr:rowOff>
    </xdr:from>
    <xdr:to>
      <xdr:col>3</xdr:col>
      <xdr:colOff>643500</xdr:colOff>
      <xdr:row>4</xdr:row>
      <xdr:rowOff>796012</xdr:rowOff>
    </xdr:to>
    <xdr:sp macro="" textlink="">
      <xdr:nvSpPr>
        <xdr:cNvPr id="6" name="5-конечная звезда 5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2114550" y="1600312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302559</xdr:colOff>
      <xdr:row>0</xdr:row>
      <xdr:rowOff>134470</xdr:rowOff>
    </xdr:from>
    <xdr:to>
      <xdr:col>2</xdr:col>
      <xdr:colOff>253332</xdr:colOff>
      <xdr:row>2</xdr:row>
      <xdr:rowOff>109944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559" y="134470"/>
          <a:ext cx="912798" cy="413624"/>
        </a:xfrm>
        <a:prstGeom prst="rect">
          <a:avLst/>
        </a:prstGeom>
      </xdr:spPr>
    </xdr:pic>
    <xdr:clientData/>
  </xdr:twoCellAnchor>
  <xdr:twoCellAnchor>
    <xdr:from>
      <xdr:col>3</xdr:col>
      <xdr:colOff>832265</xdr:colOff>
      <xdr:row>13</xdr:row>
      <xdr:rowOff>78441</xdr:rowOff>
    </xdr:from>
    <xdr:to>
      <xdr:col>3</xdr:col>
      <xdr:colOff>832265</xdr:colOff>
      <xdr:row>13</xdr:row>
      <xdr:rowOff>1390397</xdr:rowOff>
    </xdr:to>
    <xdr:cxnSp macro="">
      <xdr:nvCxnSpPr>
        <xdr:cNvPr id="11" name="Прямая со стрелкой 10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375315" y="14670741"/>
          <a:ext cx="0" cy="1311956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791272</xdr:colOff>
      <xdr:row>13</xdr:row>
      <xdr:rowOff>1372698</xdr:rowOff>
    </xdr:from>
    <xdr:to>
      <xdr:col>3</xdr:col>
      <xdr:colOff>863272</xdr:colOff>
      <xdr:row>13</xdr:row>
      <xdr:rowOff>1444698</xdr:rowOff>
    </xdr:to>
    <xdr:sp macro="" textlink="">
      <xdr:nvSpPr>
        <xdr:cNvPr id="12" name="Овал 11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334322" y="15964998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829235</xdr:colOff>
      <xdr:row>13</xdr:row>
      <xdr:rowOff>470646</xdr:rowOff>
    </xdr:from>
    <xdr:to>
      <xdr:col>3</xdr:col>
      <xdr:colOff>1490382</xdr:colOff>
      <xdr:row>13</xdr:row>
      <xdr:rowOff>818028</xdr:rowOff>
    </xdr:to>
    <xdr:sp macro="" textlink="">
      <xdr:nvSpPr>
        <xdr:cNvPr id="13" name="Полилиния 12"/>
        <xdr:cNvSpPr/>
      </xdr:nvSpPr>
      <xdr:spPr>
        <a:xfrm>
          <a:off x="2372285" y="15062946"/>
          <a:ext cx="661147" cy="347382"/>
        </a:xfrm>
        <a:custGeom>
          <a:avLst/>
          <a:gdLst>
            <a:gd name="connsiteX0" fmla="*/ 0 w 661147"/>
            <a:gd name="connsiteY0" fmla="*/ 347382 h 347382"/>
            <a:gd name="connsiteX1" fmla="*/ 347382 w 661147"/>
            <a:gd name="connsiteY1" fmla="*/ 201705 h 347382"/>
            <a:gd name="connsiteX2" fmla="*/ 661147 w 661147"/>
            <a:gd name="connsiteY2" fmla="*/ 0 h 3473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61147" h="347382">
              <a:moveTo>
                <a:pt x="0" y="347382"/>
              </a:moveTo>
              <a:cubicBezTo>
                <a:pt x="118595" y="303492"/>
                <a:pt x="237191" y="259602"/>
                <a:pt x="347382" y="201705"/>
              </a:cubicBezTo>
              <a:cubicBezTo>
                <a:pt x="457573" y="143808"/>
                <a:pt x="559360" y="71904"/>
                <a:pt x="661147" y="0"/>
              </a:cubicBezTo>
            </a:path>
          </a:pathLst>
        </a:custGeom>
        <a:noFill/>
        <a:ln w="19050">
          <a:solidFill>
            <a:schemeClr val="tx1"/>
          </a:solidFill>
          <a:prstDash val="sysDot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821054</xdr:colOff>
      <xdr:row>14</xdr:row>
      <xdr:rowOff>81643</xdr:rowOff>
    </xdr:from>
    <xdr:to>
      <xdr:col>3</xdr:col>
      <xdr:colOff>821054</xdr:colOff>
      <xdr:row>14</xdr:row>
      <xdr:rowOff>1371183</xdr:rowOff>
    </xdr:to>
    <xdr:cxnSp macro="">
      <xdr:nvCxnSpPr>
        <xdr:cNvPr id="14" name="Прямая со стрелкой 13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364104" y="16197943"/>
          <a:ext cx="0" cy="1289540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780061</xdr:colOff>
      <xdr:row>14</xdr:row>
      <xdr:rowOff>1353487</xdr:rowOff>
    </xdr:from>
    <xdr:to>
      <xdr:col>3</xdr:col>
      <xdr:colOff>852061</xdr:colOff>
      <xdr:row>14</xdr:row>
      <xdr:rowOff>1425487</xdr:rowOff>
    </xdr:to>
    <xdr:sp macro="" textlink="">
      <xdr:nvSpPr>
        <xdr:cNvPr id="15" name="Овал 14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323111" y="17469787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983532</xdr:colOff>
      <xdr:row>14</xdr:row>
      <xdr:rowOff>731592</xdr:rowOff>
    </xdr:from>
    <xdr:to>
      <xdr:col>3</xdr:col>
      <xdr:colOff>1055532</xdr:colOff>
      <xdr:row>14</xdr:row>
      <xdr:rowOff>803592</xdr:rowOff>
    </xdr:to>
    <xdr:sp macro="" textlink="">
      <xdr:nvSpPr>
        <xdr:cNvPr id="16" name="5-конечная звезда 15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526582" y="16847892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571500</xdr:colOff>
      <xdr:row>14</xdr:row>
      <xdr:rowOff>738919</xdr:rowOff>
    </xdr:from>
    <xdr:to>
      <xdr:col>3</xdr:col>
      <xdr:colOff>643500</xdr:colOff>
      <xdr:row>14</xdr:row>
      <xdr:rowOff>810919</xdr:rowOff>
    </xdr:to>
    <xdr:sp macro="" textlink="">
      <xdr:nvSpPr>
        <xdr:cNvPr id="17" name="5-конечная звезда 16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2114550" y="16855219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1202472</xdr:colOff>
      <xdr:row>14</xdr:row>
      <xdr:rowOff>766249</xdr:rowOff>
    </xdr:from>
    <xdr:to>
      <xdr:col>3</xdr:col>
      <xdr:colOff>1202472</xdr:colOff>
      <xdr:row>14</xdr:row>
      <xdr:rowOff>766249</xdr:rowOff>
    </xdr:to>
    <xdr:cxnSp macro="">
      <xdr:nvCxnSpPr>
        <xdr:cNvPr id="18" name="Прямая соединительная линия 17"/>
        <xdr:cNvCxnSpPr/>
      </xdr:nvCxnSpPr>
      <xdr:spPr>
        <a:xfrm>
          <a:off x="2745522" y="16882549"/>
          <a:ext cx="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952500</xdr:colOff>
      <xdr:row>14</xdr:row>
      <xdr:rowOff>151345</xdr:rowOff>
    </xdr:from>
    <xdr:ext cx="609653" cy="609653"/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9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16267645"/>
          <a:ext cx="609653" cy="609653"/>
        </a:xfrm>
        <a:prstGeom prst="rect">
          <a:avLst/>
        </a:prstGeom>
        <a:ln w="19050">
          <a:noFill/>
        </a:ln>
      </xdr:spPr>
    </xdr:pic>
    <xdr:clientData/>
  </xdr:oneCellAnchor>
  <xdr:twoCellAnchor>
    <xdr:from>
      <xdr:col>3</xdr:col>
      <xdr:colOff>839067</xdr:colOff>
      <xdr:row>5</xdr:row>
      <xdr:rowOff>89647</xdr:rowOff>
    </xdr:from>
    <xdr:to>
      <xdr:col>3</xdr:col>
      <xdr:colOff>839067</xdr:colOff>
      <xdr:row>5</xdr:row>
      <xdr:rowOff>1401603</xdr:rowOff>
    </xdr:to>
    <xdr:cxnSp macro="">
      <xdr:nvCxnSpPr>
        <xdr:cNvPr id="20" name="Прямая со стрелкой 19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363067" y="2470897"/>
          <a:ext cx="0" cy="1311956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798074</xdr:colOff>
      <xdr:row>5</xdr:row>
      <xdr:rowOff>1361492</xdr:rowOff>
    </xdr:from>
    <xdr:to>
      <xdr:col>3</xdr:col>
      <xdr:colOff>870074</xdr:colOff>
      <xdr:row>5</xdr:row>
      <xdr:rowOff>1433492</xdr:rowOff>
    </xdr:to>
    <xdr:sp macro="" textlink="">
      <xdr:nvSpPr>
        <xdr:cNvPr id="21" name="Овал 20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322074" y="374274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840157</xdr:colOff>
      <xdr:row>5</xdr:row>
      <xdr:rowOff>65942</xdr:rowOff>
    </xdr:from>
    <xdr:to>
      <xdr:col>3</xdr:col>
      <xdr:colOff>994546</xdr:colOff>
      <xdr:row>5</xdr:row>
      <xdr:rowOff>1135673</xdr:rowOff>
    </xdr:to>
    <xdr:sp macro="" textlink="">
      <xdr:nvSpPr>
        <xdr:cNvPr id="22" name="Полилиния 21"/>
        <xdr:cNvSpPr/>
      </xdr:nvSpPr>
      <xdr:spPr>
        <a:xfrm>
          <a:off x="2382742" y="2463454"/>
          <a:ext cx="154389" cy="1069731"/>
        </a:xfrm>
        <a:custGeom>
          <a:avLst/>
          <a:gdLst>
            <a:gd name="connsiteX0" fmla="*/ 0 w 161192"/>
            <a:gd name="connsiteY0" fmla="*/ 1069731 h 1069731"/>
            <a:gd name="connsiteX1" fmla="*/ 58615 w 161192"/>
            <a:gd name="connsiteY1" fmla="*/ 468923 h 1069731"/>
            <a:gd name="connsiteX2" fmla="*/ 161192 w 161192"/>
            <a:gd name="connsiteY2" fmla="*/ 0 h 10697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61192" h="1069731">
              <a:moveTo>
                <a:pt x="0" y="1069731"/>
              </a:moveTo>
              <a:cubicBezTo>
                <a:pt x="15875" y="858471"/>
                <a:pt x="31750" y="647211"/>
                <a:pt x="58615" y="468923"/>
              </a:cubicBezTo>
              <a:cubicBezTo>
                <a:pt x="85480" y="290634"/>
                <a:pt x="123336" y="145317"/>
                <a:pt x="161192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679414</xdr:colOff>
      <xdr:row>5</xdr:row>
      <xdr:rowOff>71803</xdr:rowOff>
    </xdr:from>
    <xdr:to>
      <xdr:col>3</xdr:col>
      <xdr:colOff>840606</xdr:colOff>
      <xdr:row>5</xdr:row>
      <xdr:rowOff>1141534</xdr:rowOff>
    </xdr:to>
    <xdr:sp macro="" textlink="">
      <xdr:nvSpPr>
        <xdr:cNvPr id="23" name="Полилиния 22"/>
        <xdr:cNvSpPr/>
      </xdr:nvSpPr>
      <xdr:spPr>
        <a:xfrm flipH="1">
          <a:off x="2203414" y="2453053"/>
          <a:ext cx="161192" cy="1069731"/>
        </a:xfrm>
        <a:custGeom>
          <a:avLst/>
          <a:gdLst>
            <a:gd name="connsiteX0" fmla="*/ 0 w 161192"/>
            <a:gd name="connsiteY0" fmla="*/ 1069731 h 1069731"/>
            <a:gd name="connsiteX1" fmla="*/ 58615 w 161192"/>
            <a:gd name="connsiteY1" fmla="*/ 468923 h 1069731"/>
            <a:gd name="connsiteX2" fmla="*/ 161192 w 161192"/>
            <a:gd name="connsiteY2" fmla="*/ 0 h 106973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61192" h="1069731">
              <a:moveTo>
                <a:pt x="0" y="1069731"/>
              </a:moveTo>
              <a:cubicBezTo>
                <a:pt x="15875" y="858471"/>
                <a:pt x="31750" y="647211"/>
                <a:pt x="58615" y="468923"/>
              </a:cubicBezTo>
              <a:cubicBezTo>
                <a:pt x="85480" y="290634"/>
                <a:pt x="123336" y="145317"/>
                <a:pt x="161192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791254</xdr:colOff>
      <xdr:row>7</xdr:row>
      <xdr:rowOff>1248733</xdr:rowOff>
    </xdr:from>
    <xdr:to>
      <xdr:col>3</xdr:col>
      <xdr:colOff>863254</xdr:colOff>
      <xdr:row>7</xdr:row>
      <xdr:rowOff>1320733</xdr:rowOff>
    </xdr:to>
    <xdr:sp macro="" textlink="">
      <xdr:nvSpPr>
        <xdr:cNvPr id="24" name="Овал 2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rot="12997106">
          <a:off x="2315254" y="6677983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819775</xdr:colOff>
      <xdr:row>6</xdr:row>
      <xdr:rowOff>43961</xdr:rowOff>
    </xdr:from>
    <xdr:to>
      <xdr:col>3</xdr:col>
      <xdr:colOff>974480</xdr:colOff>
      <xdr:row>6</xdr:row>
      <xdr:rowOff>1393852</xdr:rowOff>
    </xdr:to>
    <xdr:sp macro="" textlink="">
      <xdr:nvSpPr>
        <xdr:cNvPr id="25" name="Полилиния 24"/>
        <xdr:cNvSpPr/>
      </xdr:nvSpPr>
      <xdr:spPr>
        <a:xfrm>
          <a:off x="2343775" y="3949211"/>
          <a:ext cx="154705" cy="1349891"/>
        </a:xfrm>
        <a:custGeom>
          <a:avLst/>
          <a:gdLst>
            <a:gd name="connsiteX0" fmla="*/ 315 w 161508"/>
            <a:gd name="connsiteY0" fmla="*/ 1326173 h 1349891"/>
            <a:gd name="connsiteX1" fmla="*/ 7642 w 161508"/>
            <a:gd name="connsiteY1" fmla="*/ 1252904 h 1349891"/>
            <a:gd name="connsiteX2" fmla="*/ 51604 w 161508"/>
            <a:gd name="connsiteY2" fmla="*/ 549520 h 1349891"/>
            <a:gd name="connsiteX3" fmla="*/ 161508 w 161508"/>
            <a:gd name="connsiteY3" fmla="*/ 0 h 134989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61508" h="1349891">
              <a:moveTo>
                <a:pt x="315" y="1326173"/>
              </a:moveTo>
              <a:cubicBezTo>
                <a:pt x="-296" y="1354259"/>
                <a:pt x="-906" y="1382346"/>
                <a:pt x="7642" y="1252904"/>
              </a:cubicBezTo>
              <a:cubicBezTo>
                <a:pt x="16190" y="1123462"/>
                <a:pt x="25960" y="758337"/>
                <a:pt x="51604" y="549520"/>
              </a:cubicBezTo>
              <a:cubicBezTo>
                <a:pt x="77248" y="340703"/>
                <a:pt x="161508" y="0"/>
                <a:pt x="161508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373672</xdr:colOff>
      <xdr:row>6</xdr:row>
      <xdr:rowOff>351692</xdr:rowOff>
    </xdr:from>
    <xdr:to>
      <xdr:col>3</xdr:col>
      <xdr:colOff>834744</xdr:colOff>
      <xdr:row>6</xdr:row>
      <xdr:rowOff>1047750</xdr:rowOff>
    </xdr:to>
    <xdr:sp macro="" textlink="">
      <xdr:nvSpPr>
        <xdr:cNvPr id="26" name="Полилиния 25"/>
        <xdr:cNvSpPr/>
      </xdr:nvSpPr>
      <xdr:spPr>
        <a:xfrm>
          <a:off x="1897672" y="4256942"/>
          <a:ext cx="461072" cy="696058"/>
        </a:xfrm>
        <a:custGeom>
          <a:avLst/>
          <a:gdLst>
            <a:gd name="connsiteX0" fmla="*/ 454269 w 454269"/>
            <a:gd name="connsiteY0" fmla="*/ 696058 h 696058"/>
            <a:gd name="connsiteX1" fmla="*/ 307731 w 454269"/>
            <a:gd name="connsiteY1" fmla="*/ 278423 h 696058"/>
            <a:gd name="connsiteX2" fmla="*/ 0 w 454269"/>
            <a:gd name="connsiteY2" fmla="*/ 0 h 6960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54269" h="696058">
              <a:moveTo>
                <a:pt x="454269" y="696058"/>
              </a:moveTo>
              <a:cubicBezTo>
                <a:pt x="418855" y="545245"/>
                <a:pt x="383442" y="394433"/>
                <a:pt x="307731" y="278423"/>
              </a:cubicBezTo>
              <a:cubicBezTo>
                <a:pt x="232020" y="162413"/>
                <a:pt x="116010" y="81206"/>
                <a:pt x="0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783925</xdr:colOff>
      <xdr:row>6</xdr:row>
      <xdr:rowOff>1380618</xdr:rowOff>
    </xdr:from>
    <xdr:to>
      <xdr:col>3</xdr:col>
      <xdr:colOff>855925</xdr:colOff>
      <xdr:row>6</xdr:row>
      <xdr:rowOff>1452618</xdr:rowOff>
    </xdr:to>
    <xdr:sp macro="" textlink="">
      <xdr:nvSpPr>
        <xdr:cNvPr id="27" name="Овал 2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rot="12997106">
          <a:off x="2307925" y="5285868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197826</xdr:colOff>
      <xdr:row>7</xdr:row>
      <xdr:rowOff>197827</xdr:rowOff>
    </xdr:from>
    <xdr:to>
      <xdr:col>3</xdr:col>
      <xdr:colOff>827417</xdr:colOff>
      <xdr:row>7</xdr:row>
      <xdr:rowOff>1150327</xdr:rowOff>
    </xdr:to>
    <xdr:sp macro="" textlink="">
      <xdr:nvSpPr>
        <xdr:cNvPr id="28" name="Полилиния 27"/>
        <xdr:cNvSpPr/>
      </xdr:nvSpPr>
      <xdr:spPr>
        <a:xfrm>
          <a:off x="1721826" y="5627077"/>
          <a:ext cx="629591" cy="952500"/>
        </a:xfrm>
        <a:custGeom>
          <a:avLst/>
          <a:gdLst>
            <a:gd name="connsiteX0" fmla="*/ 622788 w 622788"/>
            <a:gd name="connsiteY0" fmla="*/ 952500 h 952500"/>
            <a:gd name="connsiteX1" fmla="*/ 476250 w 622788"/>
            <a:gd name="connsiteY1" fmla="*/ 615461 h 952500"/>
            <a:gd name="connsiteX2" fmla="*/ 0 w 622788"/>
            <a:gd name="connsiteY2" fmla="*/ 0 h 952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22788" h="952500">
              <a:moveTo>
                <a:pt x="622788" y="952500"/>
              </a:moveTo>
              <a:cubicBezTo>
                <a:pt x="601418" y="863355"/>
                <a:pt x="580048" y="774211"/>
                <a:pt x="476250" y="615461"/>
              </a:cubicBezTo>
              <a:cubicBezTo>
                <a:pt x="372452" y="456711"/>
                <a:pt x="186226" y="228355"/>
                <a:pt x="0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263768</xdr:colOff>
      <xdr:row>7</xdr:row>
      <xdr:rowOff>644769</xdr:rowOff>
    </xdr:from>
    <xdr:to>
      <xdr:col>3</xdr:col>
      <xdr:colOff>724840</xdr:colOff>
      <xdr:row>7</xdr:row>
      <xdr:rowOff>886558</xdr:rowOff>
    </xdr:to>
    <xdr:sp macro="" textlink="">
      <xdr:nvSpPr>
        <xdr:cNvPr id="29" name="Полилиния 28"/>
        <xdr:cNvSpPr/>
      </xdr:nvSpPr>
      <xdr:spPr>
        <a:xfrm>
          <a:off x="1787768" y="6074019"/>
          <a:ext cx="461072" cy="241789"/>
        </a:xfrm>
        <a:custGeom>
          <a:avLst/>
          <a:gdLst>
            <a:gd name="connsiteX0" fmla="*/ 454269 w 454269"/>
            <a:gd name="connsiteY0" fmla="*/ 241789 h 241789"/>
            <a:gd name="connsiteX1" fmla="*/ 322385 w 454269"/>
            <a:gd name="connsiteY1" fmla="*/ 95250 h 241789"/>
            <a:gd name="connsiteX2" fmla="*/ 0 w 454269"/>
            <a:gd name="connsiteY2" fmla="*/ 0 h 2417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54269" h="241789">
              <a:moveTo>
                <a:pt x="454269" y="241789"/>
              </a:moveTo>
              <a:cubicBezTo>
                <a:pt x="426182" y="188668"/>
                <a:pt x="398096" y="135548"/>
                <a:pt x="322385" y="95250"/>
              </a:cubicBezTo>
              <a:cubicBezTo>
                <a:pt x="246674" y="54952"/>
                <a:pt x="123337" y="27476"/>
                <a:pt x="0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827417</xdr:colOff>
      <xdr:row>7</xdr:row>
      <xdr:rowOff>153865</xdr:rowOff>
    </xdr:from>
    <xdr:to>
      <xdr:col>3</xdr:col>
      <xdr:colOff>1230922</xdr:colOff>
      <xdr:row>7</xdr:row>
      <xdr:rowOff>1267557</xdr:rowOff>
    </xdr:to>
    <xdr:sp macro="" textlink="">
      <xdr:nvSpPr>
        <xdr:cNvPr id="30" name="Полилиния 29"/>
        <xdr:cNvSpPr/>
      </xdr:nvSpPr>
      <xdr:spPr>
        <a:xfrm>
          <a:off x="2351417" y="5583115"/>
          <a:ext cx="403505" cy="1113692"/>
        </a:xfrm>
        <a:custGeom>
          <a:avLst/>
          <a:gdLst>
            <a:gd name="connsiteX0" fmla="*/ 0 w 410308"/>
            <a:gd name="connsiteY0" fmla="*/ 1113692 h 1113692"/>
            <a:gd name="connsiteX1" fmla="*/ 0 w 410308"/>
            <a:gd name="connsiteY1" fmla="*/ 989135 h 1113692"/>
            <a:gd name="connsiteX2" fmla="*/ 153865 w 410308"/>
            <a:gd name="connsiteY2" fmla="*/ 520212 h 1113692"/>
            <a:gd name="connsiteX3" fmla="*/ 410308 w 410308"/>
            <a:gd name="connsiteY3" fmla="*/ 0 h 111369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410308" h="1113692">
              <a:moveTo>
                <a:pt x="0" y="1113692"/>
              </a:moveTo>
              <a:lnTo>
                <a:pt x="0" y="989135"/>
              </a:lnTo>
              <a:cubicBezTo>
                <a:pt x="25644" y="890222"/>
                <a:pt x="85480" y="685068"/>
                <a:pt x="153865" y="520212"/>
              </a:cubicBezTo>
              <a:cubicBezTo>
                <a:pt x="222250" y="355356"/>
                <a:pt x="316279" y="177678"/>
                <a:pt x="410308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819775</xdr:colOff>
      <xdr:row>8</xdr:row>
      <xdr:rowOff>55167</xdr:rowOff>
    </xdr:from>
    <xdr:to>
      <xdr:col>3</xdr:col>
      <xdr:colOff>974480</xdr:colOff>
      <xdr:row>8</xdr:row>
      <xdr:rowOff>1405058</xdr:rowOff>
    </xdr:to>
    <xdr:sp macro="" textlink="">
      <xdr:nvSpPr>
        <xdr:cNvPr id="31" name="Полилиния 30"/>
        <xdr:cNvSpPr/>
      </xdr:nvSpPr>
      <xdr:spPr>
        <a:xfrm>
          <a:off x="2343775" y="7008417"/>
          <a:ext cx="154705" cy="1349891"/>
        </a:xfrm>
        <a:custGeom>
          <a:avLst/>
          <a:gdLst>
            <a:gd name="connsiteX0" fmla="*/ 315 w 161508"/>
            <a:gd name="connsiteY0" fmla="*/ 1326173 h 1349891"/>
            <a:gd name="connsiteX1" fmla="*/ 7642 w 161508"/>
            <a:gd name="connsiteY1" fmla="*/ 1252904 h 1349891"/>
            <a:gd name="connsiteX2" fmla="*/ 51604 w 161508"/>
            <a:gd name="connsiteY2" fmla="*/ 549520 h 1349891"/>
            <a:gd name="connsiteX3" fmla="*/ 161508 w 161508"/>
            <a:gd name="connsiteY3" fmla="*/ 0 h 134989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61508" h="1349891">
              <a:moveTo>
                <a:pt x="315" y="1326173"/>
              </a:moveTo>
              <a:cubicBezTo>
                <a:pt x="-296" y="1354259"/>
                <a:pt x="-906" y="1382346"/>
                <a:pt x="7642" y="1252904"/>
              </a:cubicBezTo>
              <a:cubicBezTo>
                <a:pt x="16190" y="1123462"/>
                <a:pt x="25960" y="758337"/>
                <a:pt x="51604" y="549520"/>
              </a:cubicBezTo>
              <a:cubicBezTo>
                <a:pt x="77248" y="340703"/>
                <a:pt x="161508" y="0"/>
                <a:pt x="161508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373672</xdr:colOff>
      <xdr:row>8</xdr:row>
      <xdr:rowOff>362898</xdr:rowOff>
    </xdr:from>
    <xdr:to>
      <xdr:col>3</xdr:col>
      <xdr:colOff>834744</xdr:colOff>
      <xdr:row>8</xdr:row>
      <xdr:rowOff>1058956</xdr:rowOff>
    </xdr:to>
    <xdr:sp macro="" textlink="">
      <xdr:nvSpPr>
        <xdr:cNvPr id="32" name="Полилиния 31"/>
        <xdr:cNvSpPr/>
      </xdr:nvSpPr>
      <xdr:spPr>
        <a:xfrm>
          <a:off x="1897672" y="7316148"/>
          <a:ext cx="461072" cy="696058"/>
        </a:xfrm>
        <a:custGeom>
          <a:avLst/>
          <a:gdLst>
            <a:gd name="connsiteX0" fmla="*/ 454269 w 454269"/>
            <a:gd name="connsiteY0" fmla="*/ 696058 h 696058"/>
            <a:gd name="connsiteX1" fmla="*/ 307731 w 454269"/>
            <a:gd name="connsiteY1" fmla="*/ 278423 h 696058"/>
            <a:gd name="connsiteX2" fmla="*/ 0 w 454269"/>
            <a:gd name="connsiteY2" fmla="*/ 0 h 6960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54269" h="696058">
              <a:moveTo>
                <a:pt x="454269" y="696058"/>
              </a:moveTo>
              <a:cubicBezTo>
                <a:pt x="418855" y="545245"/>
                <a:pt x="383442" y="394433"/>
                <a:pt x="307731" y="278423"/>
              </a:cubicBezTo>
              <a:cubicBezTo>
                <a:pt x="232020" y="162413"/>
                <a:pt x="116010" y="81206"/>
                <a:pt x="0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783925</xdr:colOff>
      <xdr:row>8</xdr:row>
      <xdr:rowOff>1391824</xdr:rowOff>
    </xdr:from>
    <xdr:to>
      <xdr:col>3</xdr:col>
      <xdr:colOff>855925</xdr:colOff>
      <xdr:row>8</xdr:row>
      <xdr:rowOff>1463824</xdr:rowOff>
    </xdr:to>
    <xdr:sp macro="" textlink="">
      <xdr:nvSpPr>
        <xdr:cNvPr id="33" name="Овал 32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rot="12997106">
          <a:off x="2307925" y="8345074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791254</xdr:colOff>
      <xdr:row>9</xdr:row>
      <xdr:rowOff>1303162</xdr:rowOff>
    </xdr:from>
    <xdr:to>
      <xdr:col>3</xdr:col>
      <xdr:colOff>863254</xdr:colOff>
      <xdr:row>9</xdr:row>
      <xdr:rowOff>1375162</xdr:rowOff>
    </xdr:to>
    <xdr:sp macro="" textlink="">
      <xdr:nvSpPr>
        <xdr:cNvPr id="34" name="Овал 3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rot="12997106">
          <a:off x="2315254" y="978041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197826</xdr:colOff>
      <xdr:row>9</xdr:row>
      <xdr:rowOff>252256</xdr:rowOff>
    </xdr:from>
    <xdr:to>
      <xdr:col>3</xdr:col>
      <xdr:colOff>827417</xdr:colOff>
      <xdr:row>9</xdr:row>
      <xdr:rowOff>1204756</xdr:rowOff>
    </xdr:to>
    <xdr:sp macro="" textlink="">
      <xdr:nvSpPr>
        <xdr:cNvPr id="35" name="Полилиния 34"/>
        <xdr:cNvSpPr/>
      </xdr:nvSpPr>
      <xdr:spPr>
        <a:xfrm>
          <a:off x="1721826" y="8729506"/>
          <a:ext cx="629591" cy="952500"/>
        </a:xfrm>
        <a:custGeom>
          <a:avLst/>
          <a:gdLst>
            <a:gd name="connsiteX0" fmla="*/ 622788 w 622788"/>
            <a:gd name="connsiteY0" fmla="*/ 952500 h 952500"/>
            <a:gd name="connsiteX1" fmla="*/ 476250 w 622788"/>
            <a:gd name="connsiteY1" fmla="*/ 615461 h 952500"/>
            <a:gd name="connsiteX2" fmla="*/ 0 w 622788"/>
            <a:gd name="connsiteY2" fmla="*/ 0 h 952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22788" h="952500">
              <a:moveTo>
                <a:pt x="622788" y="952500"/>
              </a:moveTo>
              <a:cubicBezTo>
                <a:pt x="601418" y="863355"/>
                <a:pt x="580048" y="774211"/>
                <a:pt x="476250" y="615461"/>
              </a:cubicBezTo>
              <a:cubicBezTo>
                <a:pt x="372452" y="456711"/>
                <a:pt x="186226" y="228355"/>
                <a:pt x="0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259686</xdr:colOff>
      <xdr:row>9</xdr:row>
      <xdr:rowOff>699198</xdr:rowOff>
    </xdr:from>
    <xdr:to>
      <xdr:col>3</xdr:col>
      <xdr:colOff>720758</xdr:colOff>
      <xdr:row>9</xdr:row>
      <xdr:rowOff>940987</xdr:rowOff>
    </xdr:to>
    <xdr:sp macro="" textlink="">
      <xdr:nvSpPr>
        <xdr:cNvPr id="36" name="Полилиния 35"/>
        <xdr:cNvSpPr/>
      </xdr:nvSpPr>
      <xdr:spPr>
        <a:xfrm>
          <a:off x="1802736" y="9195498"/>
          <a:ext cx="461072" cy="241789"/>
        </a:xfrm>
        <a:custGeom>
          <a:avLst/>
          <a:gdLst>
            <a:gd name="connsiteX0" fmla="*/ 454269 w 454269"/>
            <a:gd name="connsiteY0" fmla="*/ 241789 h 241789"/>
            <a:gd name="connsiteX1" fmla="*/ 322385 w 454269"/>
            <a:gd name="connsiteY1" fmla="*/ 95250 h 241789"/>
            <a:gd name="connsiteX2" fmla="*/ 0 w 454269"/>
            <a:gd name="connsiteY2" fmla="*/ 0 h 2417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54269" h="241789">
              <a:moveTo>
                <a:pt x="454269" y="241789"/>
              </a:moveTo>
              <a:cubicBezTo>
                <a:pt x="426182" y="188668"/>
                <a:pt x="398096" y="135548"/>
                <a:pt x="322385" y="95250"/>
              </a:cubicBezTo>
              <a:cubicBezTo>
                <a:pt x="246674" y="54952"/>
                <a:pt x="123337" y="27476"/>
                <a:pt x="0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827417</xdr:colOff>
      <xdr:row>9</xdr:row>
      <xdr:rowOff>208294</xdr:rowOff>
    </xdr:from>
    <xdr:to>
      <xdr:col>3</xdr:col>
      <xdr:colOff>1230922</xdr:colOff>
      <xdr:row>9</xdr:row>
      <xdr:rowOff>1321986</xdr:rowOff>
    </xdr:to>
    <xdr:sp macro="" textlink="">
      <xdr:nvSpPr>
        <xdr:cNvPr id="37" name="Полилиния 36"/>
        <xdr:cNvSpPr/>
      </xdr:nvSpPr>
      <xdr:spPr>
        <a:xfrm>
          <a:off x="2351417" y="8685544"/>
          <a:ext cx="403505" cy="1113692"/>
        </a:xfrm>
        <a:custGeom>
          <a:avLst/>
          <a:gdLst>
            <a:gd name="connsiteX0" fmla="*/ 0 w 410308"/>
            <a:gd name="connsiteY0" fmla="*/ 1113692 h 1113692"/>
            <a:gd name="connsiteX1" fmla="*/ 0 w 410308"/>
            <a:gd name="connsiteY1" fmla="*/ 989135 h 1113692"/>
            <a:gd name="connsiteX2" fmla="*/ 153865 w 410308"/>
            <a:gd name="connsiteY2" fmla="*/ 520212 h 1113692"/>
            <a:gd name="connsiteX3" fmla="*/ 410308 w 410308"/>
            <a:gd name="connsiteY3" fmla="*/ 0 h 111369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410308" h="1113692">
              <a:moveTo>
                <a:pt x="0" y="1113692"/>
              </a:moveTo>
              <a:lnTo>
                <a:pt x="0" y="989135"/>
              </a:lnTo>
              <a:cubicBezTo>
                <a:pt x="25644" y="890222"/>
                <a:pt x="85480" y="685068"/>
                <a:pt x="153865" y="520212"/>
              </a:cubicBezTo>
              <a:cubicBezTo>
                <a:pt x="222250" y="355356"/>
                <a:pt x="316279" y="177678"/>
                <a:pt x="410308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791254</xdr:colOff>
      <xdr:row>11</xdr:row>
      <xdr:rowOff>1330376</xdr:rowOff>
    </xdr:from>
    <xdr:to>
      <xdr:col>3</xdr:col>
      <xdr:colOff>863254</xdr:colOff>
      <xdr:row>11</xdr:row>
      <xdr:rowOff>1402376</xdr:rowOff>
    </xdr:to>
    <xdr:sp macro="" textlink="">
      <xdr:nvSpPr>
        <xdr:cNvPr id="38" name="Овал 3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rot="12997106">
          <a:off x="2315254" y="12855626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197826</xdr:colOff>
      <xdr:row>11</xdr:row>
      <xdr:rowOff>279470</xdr:rowOff>
    </xdr:from>
    <xdr:to>
      <xdr:col>3</xdr:col>
      <xdr:colOff>827417</xdr:colOff>
      <xdr:row>11</xdr:row>
      <xdr:rowOff>1231970</xdr:rowOff>
    </xdr:to>
    <xdr:sp macro="" textlink="">
      <xdr:nvSpPr>
        <xdr:cNvPr id="39" name="Полилиния 38"/>
        <xdr:cNvSpPr/>
      </xdr:nvSpPr>
      <xdr:spPr>
        <a:xfrm>
          <a:off x="1721826" y="11804720"/>
          <a:ext cx="629591" cy="952500"/>
        </a:xfrm>
        <a:custGeom>
          <a:avLst/>
          <a:gdLst>
            <a:gd name="connsiteX0" fmla="*/ 622788 w 622788"/>
            <a:gd name="connsiteY0" fmla="*/ 952500 h 952500"/>
            <a:gd name="connsiteX1" fmla="*/ 476250 w 622788"/>
            <a:gd name="connsiteY1" fmla="*/ 615461 h 952500"/>
            <a:gd name="connsiteX2" fmla="*/ 0 w 622788"/>
            <a:gd name="connsiteY2" fmla="*/ 0 h 952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22788" h="952500">
              <a:moveTo>
                <a:pt x="622788" y="952500"/>
              </a:moveTo>
              <a:cubicBezTo>
                <a:pt x="601418" y="863355"/>
                <a:pt x="580048" y="774211"/>
                <a:pt x="476250" y="615461"/>
              </a:cubicBezTo>
              <a:cubicBezTo>
                <a:pt x="372452" y="456711"/>
                <a:pt x="186226" y="228355"/>
                <a:pt x="0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259686</xdr:colOff>
      <xdr:row>11</xdr:row>
      <xdr:rowOff>726412</xdr:rowOff>
    </xdr:from>
    <xdr:to>
      <xdr:col>3</xdr:col>
      <xdr:colOff>720758</xdr:colOff>
      <xdr:row>11</xdr:row>
      <xdr:rowOff>968201</xdr:rowOff>
    </xdr:to>
    <xdr:sp macro="" textlink="">
      <xdr:nvSpPr>
        <xdr:cNvPr id="40" name="Полилиния 39"/>
        <xdr:cNvSpPr/>
      </xdr:nvSpPr>
      <xdr:spPr>
        <a:xfrm>
          <a:off x="1802736" y="12270712"/>
          <a:ext cx="461072" cy="241789"/>
        </a:xfrm>
        <a:custGeom>
          <a:avLst/>
          <a:gdLst>
            <a:gd name="connsiteX0" fmla="*/ 454269 w 454269"/>
            <a:gd name="connsiteY0" fmla="*/ 241789 h 241789"/>
            <a:gd name="connsiteX1" fmla="*/ 322385 w 454269"/>
            <a:gd name="connsiteY1" fmla="*/ 95250 h 241789"/>
            <a:gd name="connsiteX2" fmla="*/ 0 w 454269"/>
            <a:gd name="connsiteY2" fmla="*/ 0 h 2417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54269" h="241789">
              <a:moveTo>
                <a:pt x="454269" y="241789"/>
              </a:moveTo>
              <a:cubicBezTo>
                <a:pt x="426182" y="188668"/>
                <a:pt x="398096" y="135548"/>
                <a:pt x="322385" y="95250"/>
              </a:cubicBezTo>
              <a:cubicBezTo>
                <a:pt x="246674" y="54952"/>
                <a:pt x="123337" y="27476"/>
                <a:pt x="0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827417</xdr:colOff>
      <xdr:row>11</xdr:row>
      <xdr:rowOff>235508</xdr:rowOff>
    </xdr:from>
    <xdr:to>
      <xdr:col>3</xdr:col>
      <xdr:colOff>1230922</xdr:colOff>
      <xdr:row>11</xdr:row>
      <xdr:rowOff>1349200</xdr:rowOff>
    </xdr:to>
    <xdr:sp macro="" textlink="">
      <xdr:nvSpPr>
        <xdr:cNvPr id="41" name="Полилиния 40"/>
        <xdr:cNvSpPr/>
      </xdr:nvSpPr>
      <xdr:spPr>
        <a:xfrm>
          <a:off x="2351417" y="11760758"/>
          <a:ext cx="403505" cy="1113692"/>
        </a:xfrm>
        <a:custGeom>
          <a:avLst/>
          <a:gdLst>
            <a:gd name="connsiteX0" fmla="*/ 0 w 410308"/>
            <a:gd name="connsiteY0" fmla="*/ 1113692 h 1113692"/>
            <a:gd name="connsiteX1" fmla="*/ 0 w 410308"/>
            <a:gd name="connsiteY1" fmla="*/ 989135 h 1113692"/>
            <a:gd name="connsiteX2" fmla="*/ 153865 w 410308"/>
            <a:gd name="connsiteY2" fmla="*/ 520212 h 1113692"/>
            <a:gd name="connsiteX3" fmla="*/ 410308 w 410308"/>
            <a:gd name="connsiteY3" fmla="*/ 0 h 111369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410308" h="1113692">
              <a:moveTo>
                <a:pt x="0" y="1113692"/>
              </a:moveTo>
              <a:lnTo>
                <a:pt x="0" y="989135"/>
              </a:lnTo>
              <a:cubicBezTo>
                <a:pt x="25644" y="890222"/>
                <a:pt x="85480" y="685068"/>
                <a:pt x="153865" y="520212"/>
              </a:cubicBezTo>
              <a:cubicBezTo>
                <a:pt x="222250" y="355356"/>
                <a:pt x="316279" y="177678"/>
                <a:pt x="410308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819775</xdr:colOff>
      <xdr:row>10</xdr:row>
      <xdr:rowOff>55167</xdr:rowOff>
    </xdr:from>
    <xdr:to>
      <xdr:col>3</xdr:col>
      <xdr:colOff>974480</xdr:colOff>
      <xdr:row>10</xdr:row>
      <xdr:rowOff>1405058</xdr:rowOff>
    </xdr:to>
    <xdr:sp macro="" textlink="">
      <xdr:nvSpPr>
        <xdr:cNvPr id="42" name="Полилиния 41"/>
        <xdr:cNvSpPr/>
      </xdr:nvSpPr>
      <xdr:spPr>
        <a:xfrm>
          <a:off x="2343775" y="10056417"/>
          <a:ext cx="154705" cy="1349891"/>
        </a:xfrm>
        <a:custGeom>
          <a:avLst/>
          <a:gdLst>
            <a:gd name="connsiteX0" fmla="*/ 315 w 161508"/>
            <a:gd name="connsiteY0" fmla="*/ 1326173 h 1349891"/>
            <a:gd name="connsiteX1" fmla="*/ 7642 w 161508"/>
            <a:gd name="connsiteY1" fmla="*/ 1252904 h 1349891"/>
            <a:gd name="connsiteX2" fmla="*/ 51604 w 161508"/>
            <a:gd name="connsiteY2" fmla="*/ 549520 h 1349891"/>
            <a:gd name="connsiteX3" fmla="*/ 161508 w 161508"/>
            <a:gd name="connsiteY3" fmla="*/ 0 h 134989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61508" h="1349891">
              <a:moveTo>
                <a:pt x="315" y="1326173"/>
              </a:moveTo>
              <a:cubicBezTo>
                <a:pt x="-296" y="1354259"/>
                <a:pt x="-906" y="1382346"/>
                <a:pt x="7642" y="1252904"/>
              </a:cubicBezTo>
              <a:cubicBezTo>
                <a:pt x="16190" y="1123462"/>
                <a:pt x="25960" y="758337"/>
                <a:pt x="51604" y="549520"/>
              </a:cubicBezTo>
              <a:cubicBezTo>
                <a:pt x="77248" y="340703"/>
                <a:pt x="161508" y="0"/>
                <a:pt x="161508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373672</xdr:colOff>
      <xdr:row>10</xdr:row>
      <xdr:rowOff>362898</xdr:rowOff>
    </xdr:from>
    <xdr:to>
      <xdr:col>3</xdr:col>
      <xdr:colOff>834744</xdr:colOff>
      <xdr:row>10</xdr:row>
      <xdr:rowOff>1058956</xdr:rowOff>
    </xdr:to>
    <xdr:sp macro="" textlink="">
      <xdr:nvSpPr>
        <xdr:cNvPr id="43" name="Полилиния 42"/>
        <xdr:cNvSpPr/>
      </xdr:nvSpPr>
      <xdr:spPr>
        <a:xfrm>
          <a:off x="1897672" y="10364148"/>
          <a:ext cx="461072" cy="696058"/>
        </a:xfrm>
        <a:custGeom>
          <a:avLst/>
          <a:gdLst>
            <a:gd name="connsiteX0" fmla="*/ 454269 w 454269"/>
            <a:gd name="connsiteY0" fmla="*/ 696058 h 696058"/>
            <a:gd name="connsiteX1" fmla="*/ 307731 w 454269"/>
            <a:gd name="connsiteY1" fmla="*/ 278423 h 696058"/>
            <a:gd name="connsiteX2" fmla="*/ 0 w 454269"/>
            <a:gd name="connsiteY2" fmla="*/ 0 h 6960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54269" h="696058">
              <a:moveTo>
                <a:pt x="454269" y="696058"/>
              </a:moveTo>
              <a:cubicBezTo>
                <a:pt x="418855" y="545245"/>
                <a:pt x="383442" y="394433"/>
                <a:pt x="307731" y="278423"/>
              </a:cubicBezTo>
              <a:cubicBezTo>
                <a:pt x="232020" y="162413"/>
                <a:pt x="116010" y="81206"/>
                <a:pt x="0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783925</xdr:colOff>
      <xdr:row>10</xdr:row>
      <xdr:rowOff>1391824</xdr:rowOff>
    </xdr:from>
    <xdr:to>
      <xdr:col>3</xdr:col>
      <xdr:colOff>855925</xdr:colOff>
      <xdr:row>10</xdr:row>
      <xdr:rowOff>1463824</xdr:rowOff>
    </xdr:to>
    <xdr:sp macro="" textlink="">
      <xdr:nvSpPr>
        <xdr:cNvPr id="44" name="Овал 43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rot="12997106">
          <a:off x="2307925" y="11393074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819775</xdr:colOff>
      <xdr:row>12</xdr:row>
      <xdr:rowOff>55167</xdr:rowOff>
    </xdr:from>
    <xdr:to>
      <xdr:col>3</xdr:col>
      <xdr:colOff>974480</xdr:colOff>
      <xdr:row>12</xdr:row>
      <xdr:rowOff>1405058</xdr:rowOff>
    </xdr:to>
    <xdr:sp macro="" textlink="">
      <xdr:nvSpPr>
        <xdr:cNvPr id="45" name="Полилиния 44"/>
        <xdr:cNvSpPr/>
      </xdr:nvSpPr>
      <xdr:spPr>
        <a:xfrm>
          <a:off x="2343775" y="13104417"/>
          <a:ext cx="154705" cy="1349891"/>
        </a:xfrm>
        <a:custGeom>
          <a:avLst/>
          <a:gdLst>
            <a:gd name="connsiteX0" fmla="*/ 315 w 161508"/>
            <a:gd name="connsiteY0" fmla="*/ 1326173 h 1349891"/>
            <a:gd name="connsiteX1" fmla="*/ 7642 w 161508"/>
            <a:gd name="connsiteY1" fmla="*/ 1252904 h 1349891"/>
            <a:gd name="connsiteX2" fmla="*/ 51604 w 161508"/>
            <a:gd name="connsiteY2" fmla="*/ 549520 h 1349891"/>
            <a:gd name="connsiteX3" fmla="*/ 161508 w 161508"/>
            <a:gd name="connsiteY3" fmla="*/ 0 h 134989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61508" h="1349891">
              <a:moveTo>
                <a:pt x="315" y="1326173"/>
              </a:moveTo>
              <a:cubicBezTo>
                <a:pt x="-296" y="1354259"/>
                <a:pt x="-906" y="1382346"/>
                <a:pt x="7642" y="1252904"/>
              </a:cubicBezTo>
              <a:cubicBezTo>
                <a:pt x="16190" y="1123462"/>
                <a:pt x="25960" y="758337"/>
                <a:pt x="51604" y="549520"/>
              </a:cubicBezTo>
              <a:cubicBezTo>
                <a:pt x="77248" y="340703"/>
                <a:pt x="161508" y="0"/>
                <a:pt x="161508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373672</xdr:colOff>
      <xdr:row>12</xdr:row>
      <xdr:rowOff>362898</xdr:rowOff>
    </xdr:from>
    <xdr:to>
      <xdr:col>3</xdr:col>
      <xdr:colOff>834744</xdr:colOff>
      <xdr:row>12</xdr:row>
      <xdr:rowOff>1058956</xdr:rowOff>
    </xdr:to>
    <xdr:sp macro="" textlink="">
      <xdr:nvSpPr>
        <xdr:cNvPr id="46" name="Полилиния 45"/>
        <xdr:cNvSpPr/>
      </xdr:nvSpPr>
      <xdr:spPr>
        <a:xfrm>
          <a:off x="1897672" y="13412148"/>
          <a:ext cx="461072" cy="696058"/>
        </a:xfrm>
        <a:custGeom>
          <a:avLst/>
          <a:gdLst>
            <a:gd name="connsiteX0" fmla="*/ 454269 w 454269"/>
            <a:gd name="connsiteY0" fmla="*/ 696058 h 696058"/>
            <a:gd name="connsiteX1" fmla="*/ 307731 w 454269"/>
            <a:gd name="connsiteY1" fmla="*/ 278423 h 696058"/>
            <a:gd name="connsiteX2" fmla="*/ 0 w 454269"/>
            <a:gd name="connsiteY2" fmla="*/ 0 h 6960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54269" h="696058">
              <a:moveTo>
                <a:pt x="454269" y="696058"/>
              </a:moveTo>
              <a:cubicBezTo>
                <a:pt x="418855" y="545245"/>
                <a:pt x="383442" y="394433"/>
                <a:pt x="307731" y="278423"/>
              </a:cubicBezTo>
              <a:cubicBezTo>
                <a:pt x="232020" y="162413"/>
                <a:pt x="116010" y="81206"/>
                <a:pt x="0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783925</xdr:colOff>
      <xdr:row>12</xdr:row>
      <xdr:rowOff>1391824</xdr:rowOff>
    </xdr:from>
    <xdr:to>
      <xdr:col>3</xdr:col>
      <xdr:colOff>855925</xdr:colOff>
      <xdr:row>12</xdr:row>
      <xdr:rowOff>1463824</xdr:rowOff>
    </xdr:to>
    <xdr:sp macro="" textlink="">
      <xdr:nvSpPr>
        <xdr:cNvPr id="47" name="Овал 46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 rot="12997106">
          <a:off x="2307925" y="14441074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786015</xdr:colOff>
      <xdr:row>4</xdr:row>
      <xdr:rowOff>94532</xdr:rowOff>
    </xdr:from>
    <xdr:to>
      <xdr:col>6</xdr:col>
      <xdr:colOff>242110</xdr:colOff>
      <xdr:row>4</xdr:row>
      <xdr:rowOff>1146426</xdr:rowOff>
    </xdr:to>
    <xdr:grpSp>
      <xdr:nvGrpSpPr>
        <xdr:cNvPr id="48" name="Группа 47"/>
        <xdr:cNvGrpSpPr/>
      </xdr:nvGrpSpPr>
      <xdr:grpSpPr>
        <a:xfrm>
          <a:off x="3910215" y="970832"/>
          <a:ext cx="1951645" cy="1051894"/>
          <a:chOff x="3902868" y="7562278"/>
          <a:chExt cx="1958612" cy="1051894"/>
        </a:xfrm>
      </xdr:grpSpPr>
      <xdr:sp macro="" textlink="">
        <xdr:nvSpPr>
          <xdr:cNvPr id="49" name="Прямоугольник 48"/>
          <xdr:cNvSpPr/>
        </xdr:nvSpPr>
        <xdr:spPr>
          <a:xfrm>
            <a:off x="3902868" y="7585472"/>
            <a:ext cx="1703935" cy="1019175"/>
          </a:xfrm>
          <a:prstGeom prst="rect">
            <a:avLst/>
          </a:prstGeom>
          <a:solidFill>
            <a:srgbClr val="0070C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50" name="Прямая со стрелкой 49"/>
          <xdr:cNvCxnSpPr/>
        </xdr:nvCxnSpPr>
        <xdr:spPr>
          <a:xfrm flipV="1">
            <a:off x="4045744" y="7633098"/>
            <a:ext cx="0" cy="981074"/>
          </a:xfrm>
          <a:prstGeom prst="straightConnector1">
            <a:avLst/>
          </a:prstGeom>
          <a:ln w="63500">
            <a:solidFill>
              <a:schemeClr val="bg1"/>
            </a:solidFill>
            <a:tailEnd type="triangl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1" name="Полилиния 50"/>
          <xdr:cNvSpPr/>
        </xdr:nvSpPr>
        <xdr:spPr>
          <a:xfrm>
            <a:off x="4031819" y="8299433"/>
            <a:ext cx="602761" cy="248478"/>
          </a:xfrm>
          <a:custGeom>
            <a:avLst/>
            <a:gdLst>
              <a:gd name="connsiteX0" fmla="*/ 0 w 496957"/>
              <a:gd name="connsiteY0" fmla="*/ 248478 h 248478"/>
              <a:gd name="connsiteX1" fmla="*/ 306457 w 496957"/>
              <a:gd name="connsiteY1" fmla="*/ 0 h 248478"/>
              <a:gd name="connsiteX2" fmla="*/ 496957 w 496957"/>
              <a:gd name="connsiteY2" fmla="*/ 0 h 24847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496957" h="248478">
                <a:moveTo>
                  <a:pt x="0" y="248478"/>
                </a:moveTo>
                <a:lnTo>
                  <a:pt x="306457" y="0"/>
                </a:lnTo>
                <a:lnTo>
                  <a:pt x="496957" y="0"/>
                </a:lnTo>
              </a:path>
            </a:pathLst>
          </a:custGeom>
          <a:noFill/>
          <a:ln w="63500">
            <a:solidFill>
              <a:schemeClr val="bg1"/>
            </a:solidFill>
            <a:tailEnd type="triangle" w="med" len="sm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52" name="Дуга 51"/>
          <xdr:cNvSpPr/>
        </xdr:nvSpPr>
        <xdr:spPr>
          <a:xfrm>
            <a:off x="4025141" y="8067519"/>
            <a:ext cx="356152" cy="356152"/>
          </a:xfrm>
          <a:prstGeom prst="arc">
            <a:avLst>
              <a:gd name="adj1" fmla="val 15033602"/>
              <a:gd name="adj2" fmla="val 1194360"/>
            </a:avLst>
          </a:prstGeom>
          <a:noFill/>
          <a:ln w="63500">
            <a:solidFill>
              <a:schemeClr val="bg1"/>
            </a:solidFill>
            <a:headEnd type="triangle" w="med" len="sm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53" name="TextBox 52"/>
          <xdr:cNvSpPr txBox="1"/>
        </xdr:nvSpPr>
        <xdr:spPr>
          <a:xfrm>
            <a:off x="4415948" y="7562278"/>
            <a:ext cx="1008407" cy="4058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000" b="1">
                <a:solidFill>
                  <a:schemeClr val="bg1"/>
                </a:solidFill>
              </a:rPr>
              <a:t>РОСЛАВЛЬ</a:t>
            </a:r>
          </a:p>
          <a:p>
            <a:r>
              <a:rPr lang="ru-RU" sz="1000" b="1">
                <a:solidFill>
                  <a:schemeClr val="bg1"/>
                </a:solidFill>
              </a:rPr>
              <a:t>БРЯНСК</a:t>
            </a:r>
          </a:p>
        </xdr:txBody>
      </xdr:sp>
      <xdr:sp macro="" textlink="">
        <xdr:nvSpPr>
          <xdr:cNvPr id="54" name="TextBox 53"/>
          <xdr:cNvSpPr txBox="1"/>
        </xdr:nvSpPr>
        <xdr:spPr>
          <a:xfrm>
            <a:off x="4645187" y="7933987"/>
            <a:ext cx="1008590" cy="2650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000" b="1">
                <a:solidFill>
                  <a:schemeClr val="bg1"/>
                </a:solidFill>
              </a:rPr>
              <a:t>КАРДЫМОВО</a:t>
            </a:r>
          </a:p>
        </xdr:txBody>
      </xdr:sp>
      <xdr:sp macro="" textlink="">
        <xdr:nvSpPr>
          <xdr:cNvPr id="55" name="TextBox 54"/>
          <xdr:cNvSpPr txBox="1"/>
        </xdr:nvSpPr>
        <xdr:spPr>
          <a:xfrm>
            <a:off x="4855920" y="8158627"/>
            <a:ext cx="1005560" cy="2650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000" b="1">
                <a:solidFill>
                  <a:schemeClr val="bg1"/>
                </a:solidFill>
              </a:rPr>
              <a:t>СМОЛЕНСК</a:t>
            </a:r>
          </a:p>
        </xdr:txBody>
      </xdr:sp>
      <xdr:sp macro="" textlink="">
        <xdr:nvSpPr>
          <xdr:cNvPr id="56" name="Скругленный прямоугольник 55"/>
          <xdr:cNvSpPr/>
        </xdr:nvSpPr>
        <xdr:spPr>
          <a:xfrm>
            <a:off x="4188490" y="7624907"/>
            <a:ext cx="281002" cy="134339"/>
          </a:xfrm>
          <a:prstGeom prst="roundRect">
            <a:avLst/>
          </a:prstGeom>
          <a:noFill/>
          <a:ln w="19050">
            <a:solidFill>
              <a:schemeClr val="bg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ru-RU" sz="800" b="1"/>
              <a:t>А141</a:t>
            </a:r>
          </a:p>
        </xdr:txBody>
      </xdr:sp>
      <xdr:sp macro="" textlink="">
        <xdr:nvSpPr>
          <xdr:cNvPr id="57" name="Скругленный прямоугольник 56"/>
          <xdr:cNvSpPr/>
        </xdr:nvSpPr>
        <xdr:spPr>
          <a:xfrm>
            <a:off x="4406868" y="7991968"/>
            <a:ext cx="282163" cy="134339"/>
          </a:xfrm>
          <a:prstGeom prst="roundRect">
            <a:avLst/>
          </a:prstGeom>
          <a:noFill/>
          <a:ln w="19050">
            <a:solidFill>
              <a:schemeClr val="bg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ru-RU" sz="800" b="1"/>
              <a:t>Р134</a:t>
            </a:r>
          </a:p>
        </xdr:txBody>
      </xdr:sp>
      <xdr:sp macro="" textlink="">
        <xdr:nvSpPr>
          <xdr:cNvPr id="58" name="Скругленный прямоугольник 57"/>
          <xdr:cNvSpPr/>
        </xdr:nvSpPr>
        <xdr:spPr>
          <a:xfrm>
            <a:off x="4649643" y="8214993"/>
            <a:ext cx="281002" cy="134339"/>
          </a:xfrm>
          <a:prstGeom prst="roundRect">
            <a:avLst/>
          </a:prstGeom>
          <a:noFill/>
          <a:ln w="19050">
            <a:solidFill>
              <a:schemeClr val="bg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ru-RU" sz="800" b="1"/>
              <a:t>Р134</a:t>
            </a:r>
          </a:p>
        </xdr:txBody>
      </xdr:sp>
      <xdr:sp macro="" textlink="">
        <xdr:nvSpPr>
          <xdr:cNvPr id="59" name="Скругленный прямоугольник 58"/>
          <xdr:cNvSpPr/>
        </xdr:nvSpPr>
        <xdr:spPr>
          <a:xfrm>
            <a:off x="4661143" y="8451956"/>
            <a:ext cx="367061" cy="134339"/>
          </a:xfrm>
          <a:prstGeom prst="roundRect">
            <a:avLst/>
          </a:prstGeom>
          <a:noFill/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ru-RU" sz="800" b="1"/>
              <a:t>300 м</a:t>
            </a:r>
          </a:p>
        </xdr:txBody>
      </xdr:sp>
    </xdr:grpSp>
    <xdr:clientData/>
  </xdr:twoCellAnchor>
  <xdr:twoCellAnchor>
    <xdr:from>
      <xdr:col>3</xdr:col>
      <xdr:colOff>1205969</xdr:colOff>
      <xdr:row>4</xdr:row>
      <xdr:rowOff>716685</xdr:rowOff>
    </xdr:from>
    <xdr:to>
      <xdr:col>3</xdr:col>
      <xdr:colOff>1277969</xdr:colOff>
      <xdr:row>4</xdr:row>
      <xdr:rowOff>788685</xdr:rowOff>
    </xdr:to>
    <xdr:sp macro="" textlink="">
      <xdr:nvSpPr>
        <xdr:cNvPr id="60" name="5-конечная звезда 59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749019" y="1592985"/>
          <a:ext cx="72000" cy="72000"/>
        </a:xfrm>
        <a:prstGeom prst="star5">
          <a:avLst/>
        </a:prstGeom>
        <a:noFill/>
        <a:ln w="19050">
          <a:solidFill>
            <a:srgbClr val="0070C0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508271</xdr:colOff>
      <xdr:row>4</xdr:row>
      <xdr:rowOff>94532</xdr:rowOff>
    </xdr:from>
    <xdr:to>
      <xdr:col>4</xdr:col>
      <xdr:colOff>1124727</xdr:colOff>
      <xdr:row>4</xdr:row>
      <xdr:rowOff>704185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2471" y="970832"/>
          <a:ext cx="616456" cy="609653"/>
        </a:xfrm>
        <a:prstGeom prst="rect">
          <a:avLst/>
        </a:prstGeom>
      </xdr:spPr>
    </xdr:pic>
    <xdr:clientData/>
  </xdr:twoCellAnchor>
  <xdr:twoCellAnchor editAs="oneCell">
    <xdr:from>
      <xdr:col>5</xdr:col>
      <xdr:colOff>133751</xdr:colOff>
      <xdr:row>4</xdr:row>
      <xdr:rowOff>81962</xdr:rowOff>
    </xdr:from>
    <xdr:to>
      <xdr:col>5</xdr:col>
      <xdr:colOff>748526</xdr:colOff>
      <xdr:row>4</xdr:row>
      <xdr:rowOff>691615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9076" y="958262"/>
          <a:ext cx="614775" cy="609653"/>
        </a:xfrm>
        <a:prstGeom prst="rect">
          <a:avLst/>
        </a:prstGeom>
        <a:ln w="19050">
          <a:noFill/>
        </a:ln>
      </xdr:spPr>
    </xdr:pic>
    <xdr:clientData/>
  </xdr:twoCellAnchor>
  <xdr:twoCellAnchor>
    <xdr:from>
      <xdr:col>3</xdr:col>
      <xdr:colOff>1016117</xdr:colOff>
      <xdr:row>4</xdr:row>
      <xdr:rowOff>1342536</xdr:rowOff>
    </xdr:from>
    <xdr:to>
      <xdr:col>3</xdr:col>
      <xdr:colOff>1091619</xdr:colOff>
      <xdr:row>4</xdr:row>
      <xdr:rowOff>1414536</xdr:rowOff>
    </xdr:to>
    <xdr:sp macro="" textlink="">
      <xdr:nvSpPr>
        <xdr:cNvPr id="4" name="Овал 3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559167" y="2218836"/>
          <a:ext cx="75502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1231840</xdr:colOff>
      <xdr:row>4</xdr:row>
      <xdr:rowOff>1155421</xdr:rowOff>
    </xdr:from>
    <xdr:to>
      <xdr:col>3</xdr:col>
      <xdr:colOff>1303840</xdr:colOff>
      <xdr:row>4</xdr:row>
      <xdr:rowOff>1227421</xdr:rowOff>
    </xdr:to>
    <xdr:sp macro="" textlink="">
      <xdr:nvSpPr>
        <xdr:cNvPr id="5" name="5-конечная звезда 4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774890" y="2031721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797396</xdr:colOff>
      <xdr:row>4</xdr:row>
      <xdr:rowOff>1162748</xdr:rowOff>
    </xdr:from>
    <xdr:to>
      <xdr:col>3</xdr:col>
      <xdr:colOff>869396</xdr:colOff>
      <xdr:row>4</xdr:row>
      <xdr:rowOff>1234748</xdr:rowOff>
    </xdr:to>
    <xdr:sp macro="" textlink="">
      <xdr:nvSpPr>
        <xdr:cNvPr id="6" name="5-конечная звезда 5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2340446" y="2039048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302559</xdr:colOff>
      <xdr:row>0</xdr:row>
      <xdr:rowOff>134470</xdr:rowOff>
    </xdr:from>
    <xdr:to>
      <xdr:col>2</xdr:col>
      <xdr:colOff>253332</xdr:colOff>
      <xdr:row>2</xdr:row>
      <xdr:rowOff>109944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559" y="134470"/>
          <a:ext cx="912798" cy="413624"/>
        </a:xfrm>
        <a:prstGeom prst="rect">
          <a:avLst/>
        </a:prstGeom>
      </xdr:spPr>
    </xdr:pic>
    <xdr:clientData/>
  </xdr:twoCellAnchor>
  <xdr:twoCellAnchor>
    <xdr:from>
      <xdr:col>3</xdr:col>
      <xdr:colOff>672633</xdr:colOff>
      <xdr:row>4</xdr:row>
      <xdr:rowOff>78441</xdr:rowOff>
    </xdr:from>
    <xdr:to>
      <xdr:col>3</xdr:col>
      <xdr:colOff>672633</xdr:colOff>
      <xdr:row>4</xdr:row>
      <xdr:rowOff>1390397</xdr:rowOff>
    </xdr:to>
    <xdr:cxnSp macro="">
      <xdr:nvCxnSpPr>
        <xdr:cNvPr id="8" name="Прямая со стрелкой 7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215683" y="954741"/>
          <a:ext cx="0" cy="1311956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670630</xdr:colOff>
      <xdr:row>4</xdr:row>
      <xdr:rowOff>789295</xdr:rowOff>
    </xdr:from>
    <xdr:to>
      <xdr:col>3</xdr:col>
      <xdr:colOff>1044513</xdr:colOff>
      <xdr:row>4</xdr:row>
      <xdr:rowOff>1346666</xdr:rowOff>
    </xdr:to>
    <xdr:sp macro="" textlink="">
      <xdr:nvSpPr>
        <xdr:cNvPr id="9" name="Полилиния 8"/>
        <xdr:cNvSpPr/>
      </xdr:nvSpPr>
      <xdr:spPr>
        <a:xfrm>
          <a:off x="2213680" y="1665595"/>
          <a:ext cx="373883" cy="557371"/>
        </a:xfrm>
        <a:custGeom>
          <a:avLst/>
          <a:gdLst>
            <a:gd name="connsiteX0" fmla="*/ 515470 w 548081"/>
            <a:gd name="connsiteY0" fmla="*/ 549088 h 549088"/>
            <a:gd name="connsiteX1" fmla="*/ 526676 w 548081"/>
            <a:gd name="connsiteY1" fmla="*/ 235323 h 549088"/>
            <a:gd name="connsiteX2" fmla="*/ 268941 w 548081"/>
            <a:gd name="connsiteY2" fmla="*/ 56029 h 549088"/>
            <a:gd name="connsiteX3" fmla="*/ 0 w 548081"/>
            <a:gd name="connsiteY3" fmla="*/ 0 h 549088"/>
            <a:gd name="connsiteX0" fmla="*/ 565165 w 577786"/>
            <a:gd name="connsiteY0" fmla="*/ 557371 h 557371"/>
            <a:gd name="connsiteX1" fmla="*/ 526676 w 577786"/>
            <a:gd name="connsiteY1" fmla="*/ 235323 h 557371"/>
            <a:gd name="connsiteX2" fmla="*/ 268941 w 577786"/>
            <a:gd name="connsiteY2" fmla="*/ 56029 h 557371"/>
            <a:gd name="connsiteX3" fmla="*/ 0 w 577786"/>
            <a:gd name="connsiteY3" fmla="*/ 0 h 557371"/>
            <a:gd name="connsiteX0" fmla="*/ 565165 w 565711"/>
            <a:gd name="connsiteY0" fmla="*/ 557371 h 557371"/>
            <a:gd name="connsiteX1" fmla="*/ 526676 w 565711"/>
            <a:gd name="connsiteY1" fmla="*/ 235323 h 557371"/>
            <a:gd name="connsiteX2" fmla="*/ 268941 w 565711"/>
            <a:gd name="connsiteY2" fmla="*/ 56029 h 557371"/>
            <a:gd name="connsiteX3" fmla="*/ 0 w 565711"/>
            <a:gd name="connsiteY3" fmla="*/ 0 h 55737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65711" h="557371">
              <a:moveTo>
                <a:pt x="565165" y="557371"/>
              </a:moveTo>
              <a:cubicBezTo>
                <a:pt x="564097" y="376262"/>
                <a:pt x="576047" y="318880"/>
                <a:pt x="526676" y="235323"/>
              </a:cubicBezTo>
              <a:cubicBezTo>
                <a:pt x="477305" y="151766"/>
                <a:pt x="356720" y="95249"/>
                <a:pt x="268941" y="56029"/>
              </a:cubicBezTo>
              <a:cubicBezTo>
                <a:pt x="181162" y="16809"/>
                <a:pt x="0" y="0"/>
                <a:pt x="0" y="0"/>
              </a:cubicBezTo>
            </a:path>
          </a:pathLst>
        </a:custGeom>
        <a:noFill/>
        <a:ln w="19050">
          <a:solidFill>
            <a:schemeClr val="tx1"/>
          </a:solidFill>
          <a:prstDash val="sysDot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1044530</xdr:colOff>
      <xdr:row>4</xdr:row>
      <xdr:rowOff>833480</xdr:rowOff>
    </xdr:from>
    <xdr:to>
      <xdr:col>3</xdr:col>
      <xdr:colOff>1267558</xdr:colOff>
      <xdr:row>4</xdr:row>
      <xdr:rowOff>1111066</xdr:rowOff>
    </xdr:to>
    <xdr:sp macro="" textlink="">
      <xdr:nvSpPr>
        <xdr:cNvPr id="10" name="Полилиния 9"/>
        <xdr:cNvSpPr/>
      </xdr:nvSpPr>
      <xdr:spPr>
        <a:xfrm>
          <a:off x="2587580" y="1709780"/>
          <a:ext cx="223028" cy="277586"/>
        </a:xfrm>
        <a:custGeom>
          <a:avLst/>
          <a:gdLst>
            <a:gd name="connsiteX0" fmla="*/ 9359 w 357702"/>
            <a:gd name="connsiteY0" fmla="*/ 462643 h 462643"/>
            <a:gd name="connsiteX1" fmla="*/ 20245 w 357702"/>
            <a:gd name="connsiteY1" fmla="*/ 277586 h 462643"/>
            <a:gd name="connsiteX2" fmla="*/ 188974 w 357702"/>
            <a:gd name="connsiteY2" fmla="*/ 59871 h 462643"/>
            <a:gd name="connsiteX3" fmla="*/ 357702 w 357702"/>
            <a:gd name="connsiteY3" fmla="*/ 0 h 462643"/>
            <a:gd name="connsiteX0" fmla="*/ 7359 w 355702"/>
            <a:gd name="connsiteY0" fmla="*/ 462643 h 462643"/>
            <a:gd name="connsiteX1" fmla="*/ 18245 w 355702"/>
            <a:gd name="connsiteY1" fmla="*/ 277586 h 462643"/>
            <a:gd name="connsiteX2" fmla="*/ 186974 w 355702"/>
            <a:gd name="connsiteY2" fmla="*/ 59871 h 462643"/>
            <a:gd name="connsiteX3" fmla="*/ 355702 w 355702"/>
            <a:gd name="connsiteY3" fmla="*/ 0 h 462643"/>
            <a:gd name="connsiteX0" fmla="*/ 9359 w 357702"/>
            <a:gd name="connsiteY0" fmla="*/ 462643 h 462643"/>
            <a:gd name="connsiteX1" fmla="*/ 20245 w 357702"/>
            <a:gd name="connsiteY1" fmla="*/ 277586 h 462643"/>
            <a:gd name="connsiteX2" fmla="*/ 188974 w 357702"/>
            <a:gd name="connsiteY2" fmla="*/ 59871 h 462643"/>
            <a:gd name="connsiteX3" fmla="*/ 357702 w 357702"/>
            <a:gd name="connsiteY3" fmla="*/ 0 h 462643"/>
            <a:gd name="connsiteX0" fmla="*/ 3930 w 352273"/>
            <a:gd name="connsiteY0" fmla="*/ 462643 h 462643"/>
            <a:gd name="connsiteX1" fmla="*/ 14816 w 352273"/>
            <a:gd name="connsiteY1" fmla="*/ 277586 h 462643"/>
            <a:gd name="connsiteX2" fmla="*/ 183545 w 352273"/>
            <a:gd name="connsiteY2" fmla="*/ 59871 h 462643"/>
            <a:gd name="connsiteX3" fmla="*/ 352273 w 352273"/>
            <a:gd name="connsiteY3" fmla="*/ 0 h 462643"/>
            <a:gd name="connsiteX0" fmla="*/ 5538 w 353881"/>
            <a:gd name="connsiteY0" fmla="*/ 462643 h 462643"/>
            <a:gd name="connsiteX1" fmla="*/ 16424 w 353881"/>
            <a:gd name="connsiteY1" fmla="*/ 277586 h 462643"/>
            <a:gd name="connsiteX2" fmla="*/ 185153 w 353881"/>
            <a:gd name="connsiteY2" fmla="*/ 59871 h 462643"/>
            <a:gd name="connsiteX3" fmla="*/ 353881 w 353881"/>
            <a:gd name="connsiteY3" fmla="*/ 0 h 462643"/>
            <a:gd name="connsiteX0" fmla="*/ 0 w 337457"/>
            <a:gd name="connsiteY0" fmla="*/ 277586 h 277586"/>
            <a:gd name="connsiteX1" fmla="*/ 168729 w 337457"/>
            <a:gd name="connsiteY1" fmla="*/ 59871 h 277586"/>
            <a:gd name="connsiteX2" fmla="*/ 337457 w 337457"/>
            <a:gd name="connsiteY2" fmla="*/ 0 h 27758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37457" h="277586">
              <a:moveTo>
                <a:pt x="0" y="277586"/>
              </a:moveTo>
              <a:cubicBezTo>
                <a:pt x="29936" y="210457"/>
                <a:pt x="112486" y="106135"/>
                <a:pt x="168729" y="59871"/>
              </a:cubicBezTo>
              <a:cubicBezTo>
                <a:pt x="224972" y="13607"/>
                <a:pt x="281214" y="6803"/>
                <a:pt x="337457" y="0"/>
              </a:cubicBezTo>
            </a:path>
          </a:pathLst>
        </a:custGeom>
        <a:noFill/>
        <a:ln w="19050">
          <a:solidFill>
            <a:schemeClr val="tx1"/>
          </a:solidFill>
          <a:prstDash val="sysDot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848375</xdr:colOff>
      <xdr:row>4</xdr:row>
      <xdr:rowOff>833480</xdr:rowOff>
    </xdr:from>
    <xdr:to>
      <xdr:col>3</xdr:col>
      <xdr:colOff>1267558</xdr:colOff>
      <xdr:row>4</xdr:row>
      <xdr:rowOff>845324</xdr:rowOff>
    </xdr:to>
    <xdr:cxnSp macro="">
      <xdr:nvCxnSpPr>
        <xdr:cNvPr id="11" name="Прямая соединительная линия 10"/>
        <xdr:cNvCxnSpPr>
          <a:stCxn id="9" idx="2"/>
          <a:endCxn id="10" idx="2"/>
        </xdr:cNvCxnSpPr>
      </xdr:nvCxnSpPr>
      <xdr:spPr>
        <a:xfrm flipV="1">
          <a:off x="2391425" y="1709780"/>
          <a:ext cx="419183" cy="11844"/>
        </a:xfrm>
        <a:prstGeom prst="line">
          <a:avLst/>
        </a:prstGeom>
        <a:ln w="19050">
          <a:solidFill>
            <a:schemeClr val="tx1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593912</xdr:colOff>
      <xdr:row>9</xdr:row>
      <xdr:rowOff>720187</xdr:rowOff>
    </xdr:from>
    <xdr:to>
      <xdr:col>3</xdr:col>
      <xdr:colOff>1035071</xdr:colOff>
      <xdr:row>9</xdr:row>
      <xdr:rowOff>806823</xdr:rowOff>
    </xdr:to>
    <xdr:cxnSp macro="">
      <xdr:nvCxnSpPr>
        <xdr:cNvPr id="12" name="Прямая со стрелкой 11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>
          <a:off x="2136962" y="9216487"/>
          <a:ext cx="441159" cy="86636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829235</xdr:colOff>
      <xdr:row>8</xdr:row>
      <xdr:rowOff>99877</xdr:rowOff>
    </xdr:from>
    <xdr:to>
      <xdr:col>3</xdr:col>
      <xdr:colOff>829235</xdr:colOff>
      <xdr:row>8</xdr:row>
      <xdr:rowOff>1389417</xdr:rowOff>
    </xdr:to>
    <xdr:cxnSp macro="">
      <xdr:nvCxnSpPr>
        <xdr:cNvPr id="13" name="Прямая со стрелкой 12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H="1" flipV="1">
          <a:off x="2372285" y="7072177"/>
          <a:ext cx="0" cy="1289540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798228</xdr:colOff>
      <xdr:row>8</xdr:row>
      <xdr:rowOff>1371721</xdr:rowOff>
    </xdr:from>
    <xdr:to>
      <xdr:col>3</xdr:col>
      <xdr:colOff>870228</xdr:colOff>
      <xdr:row>8</xdr:row>
      <xdr:rowOff>1443721</xdr:rowOff>
    </xdr:to>
    <xdr:sp macro="" textlink="">
      <xdr:nvSpPr>
        <xdr:cNvPr id="14" name="Овал 13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 flipH="1">
          <a:off x="2341278" y="8344021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836123</xdr:colOff>
      <xdr:row>8</xdr:row>
      <xdr:rowOff>682584</xdr:rowOff>
    </xdr:from>
    <xdr:to>
      <xdr:col>3</xdr:col>
      <xdr:colOff>1512794</xdr:colOff>
      <xdr:row>8</xdr:row>
      <xdr:rowOff>874058</xdr:rowOff>
    </xdr:to>
    <xdr:cxnSp macro="">
      <xdr:nvCxnSpPr>
        <xdr:cNvPr id="15" name="Прямая со стрелкой 14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379173" y="7654884"/>
          <a:ext cx="676671" cy="191474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152564</xdr:colOff>
      <xdr:row>8</xdr:row>
      <xdr:rowOff>805851</xdr:rowOff>
    </xdr:from>
    <xdr:to>
      <xdr:col>3</xdr:col>
      <xdr:colOff>829235</xdr:colOff>
      <xdr:row>8</xdr:row>
      <xdr:rowOff>806822</xdr:rowOff>
    </xdr:to>
    <xdr:cxnSp macro="">
      <xdr:nvCxnSpPr>
        <xdr:cNvPr id="16" name="Прямая со стрелкой 15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1695614" y="7778151"/>
          <a:ext cx="676671" cy="971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762000</xdr:colOff>
      <xdr:row>9</xdr:row>
      <xdr:rowOff>100852</xdr:rowOff>
    </xdr:from>
    <xdr:to>
      <xdr:col>3</xdr:col>
      <xdr:colOff>1019735</xdr:colOff>
      <xdr:row>9</xdr:row>
      <xdr:rowOff>1445558</xdr:rowOff>
    </xdr:to>
    <xdr:sp macro="" textlink="">
      <xdr:nvSpPr>
        <xdr:cNvPr id="17" name="Полилиния 16"/>
        <xdr:cNvSpPr/>
      </xdr:nvSpPr>
      <xdr:spPr>
        <a:xfrm>
          <a:off x="2305050" y="8597152"/>
          <a:ext cx="257735" cy="1344706"/>
        </a:xfrm>
        <a:custGeom>
          <a:avLst/>
          <a:gdLst>
            <a:gd name="connsiteX0" fmla="*/ 0 w 257735"/>
            <a:gd name="connsiteY0" fmla="*/ 1344706 h 1344706"/>
            <a:gd name="connsiteX1" fmla="*/ 44823 w 257735"/>
            <a:gd name="connsiteY1" fmla="*/ 661147 h 1344706"/>
            <a:gd name="connsiteX2" fmla="*/ 257735 w 257735"/>
            <a:gd name="connsiteY2" fmla="*/ 0 h 13447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735" h="1344706">
              <a:moveTo>
                <a:pt x="0" y="1344706"/>
              </a:moveTo>
              <a:cubicBezTo>
                <a:pt x="933" y="1114985"/>
                <a:pt x="1867" y="885265"/>
                <a:pt x="44823" y="661147"/>
              </a:cubicBezTo>
              <a:cubicBezTo>
                <a:pt x="87779" y="437029"/>
                <a:pt x="172757" y="218514"/>
                <a:pt x="25773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727894</xdr:colOff>
      <xdr:row>9</xdr:row>
      <xdr:rowOff>1382928</xdr:rowOff>
    </xdr:from>
    <xdr:to>
      <xdr:col>3</xdr:col>
      <xdr:colOff>799894</xdr:colOff>
      <xdr:row>9</xdr:row>
      <xdr:rowOff>1454928</xdr:rowOff>
    </xdr:to>
    <xdr:sp macro="" textlink="">
      <xdr:nvSpPr>
        <xdr:cNvPr id="18" name="Овал 17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270944" y="9879228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1050472</xdr:colOff>
      <xdr:row>9</xdr:row>
      <xdr:rowOff>809620</xdr:rowOff>
    </xdr:from>
    <xdr:to>
      <xdr:col>3</xdr:col>
      <xdr:colOff>1504950</xdr:colOff>
      <xdr:row>9</xdr:row>
      <xdr:rowOff>898871</xdr:rowOff>
    </xdr:to>
    <xdr:cxnSp macro="">
      <xdr:nvCxnSpPr>
        <xdr:cNvPr id="19" name="Прямая со стрелкой 18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>
          <a:off x="2593522" y="9305920"/>
          <a:ext cx="454478" cy="89251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797507</xdr:colOff>
      <xdr:row>10</xdr:row>
      <xdr:rowOff>1372378</xdr:rowOff>
    </xdr:from>
    <xdr:to>
      <xdr:col>3</xdr:col>
      <xdr:colOff>869507</xdr:colOff>
      <xdr:row>10</xdr:row>
      <xdr:rowOff>1444378</xdr:rowOff>
    </xdr:to>
    <xdr:sp macro="" textlink="">
      <xdr:nvSpPr>
        <xdr:cNvPr id="20" name="Овал 19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340557" y="11392678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173935</xdr:colOff>
      <xdr:row>10</xdr:row>
      <xdr:rowOff>91110</xdr:rowOff>
    </xdr:from>
    <xdr:to>
      <xdr:col>3</xdr:col>
      <xdr:colOff>1445832</xdr:colOff>
      <xdr:row>10</xdr:row>
      <xdr:rowOff>1401411</xdr:rowOff>
    </xdr:to>
    <xdr:cxnSp macro="">
      <xdr:nvCxnSpPr>
        <xdr:cNvPr id="21" name="Прямая со стрелкой 20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 flipV="1">
          <a:off x="1716985" y="10111410"/>
          <a:ext cx="1271897" cy="1310301"/>
        </a:xfrm>
        <a:prstGeom prst="straightConnector1">
          <a:avLst/>
        </a:prstGeom>
        <a:ln w="19050"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836552</xdr:colOff>
      <xdr:row>10</xdr:row>
      <xdr:rowOff>337458</xdr:rowOff>
    </xdr:from>
    <xdr:to>
      <xdr:col>3</xdr:col>
      <xdr:colOff>1466022</xdr:colOff>
      <xdr:row>10</xdr:row>
      <xdr:rowOff>737161</xdr:rowOff>
    </xdr:to>
    <xdr:cxnSp macro="">
      <xdr:nvCxnSpPr>
        <xdr:cNvPr id="22" name="Прямая соединительная линия 21"/>
        <xdr:cNvCxnSpPr/>
      </xdr:nvCxnSpPr>
      <xdr:spPr>
        <a:xfrm flipV="1">
          <a:off x="2379602" y="10357758"/>
          <a:ext cx="629470" cy="399703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836123</xdr:colOff>
      <xdr:row>10</xdr:row>
      <xdr:rowOff>720587</xdr:rowOff>
    </xdr:from>
    <xdr:to>
      <xdr:col>3</xdr:col>
      <xdr:colOff>836123</xdr:colOff>
      <xdr:row>10</xdr:row>
      <xdr:rowOff>1388932</xdr:rowOff>
    </xdr:to>
    <xdr:cxnSp macro="">
      <xdr:nvCxnSpPr>
        <xdr:cNvPr id="23" name="Прямая со стрелкой 22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379173" y="10740887"/>
          <a:ext cx="0" cy="668345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802993</xdr:colOff>
      <xdr:row>11</xdr:row>
      <xdr:rowOff>104054</xdr:rowOff>
    </xdr:from>
    <xdr:to>
      <xdr:col>3</xdr:col>
      <xdr:colOff>802993</xdr:colOff>
      <xdr:row>11</xdr:row>
      <xdr:rowOff>1393594</xdr:rowOff>
    </xdr:to>
    <xdr:cxnSp macro="">
      <xdr:nvCxnSpPr>
        <xdr:cNvPr id="24" name="Прямая со стрелкой 23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346043" y="11648354"/>
          <a:ext cx="0" cy="1289540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762000</xdr:colOff>
      <xdr:row>11</xdr:row>
      <xdr:rowOff>1375898</xdr:rowOff>
    </xdr:from>
    <xdr:to>
      <xdr:col>3</xdr:col>
      <xdr:colOff>834000</xdr:colOff>
      <xdr:row>11</xdr:row>
      <xdr:rowOff>1447898</xdr:rowOff>
    </xdr:to>
    <xdr:sp macro="" textlink="">
      <xdr:nvSpPr>
        <xdr:cNvPr id="25" name="Овал 24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305050" y="12920198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965471</xdr:colOff>
      <xdr:row>11</xdr:row>
      <xdr:rowOff>754003</xdr:rowOff>
    </xdr:from>
    <xdr:to>
      <xdr:col>3</xdr:col>
      <xdr:colOff>1037471</xdr:colOff>
      <xdr:row>11</xdr:row>
      <xdr:rowOff>826003</xdr:rowOff>
    </xdr:to>
    <xdr:sp macro="" textlink="">
      <xdr:nvSpPr>
        <xdr:cNvPr id="26" name="5-конечная звезда 25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508521" y="12298303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782509</xdr:colOff>
      <xdr:row>23</xdr:row>
      <xdr:rowOff>75457</xdr:rowOff>
    </xdr:from>
    <xdr:to>
      <xdr:col>3</xdr:col>
      <xdr:colOff>782509</xdr:colOff>
      <xdr:row>23</xdr:row>
      <xdr:rowOff>1401389</xdr:rowOff>
    </xdr:to>
    <xdr:cxnSp macro="">
      <xdr:nvCxnSpPr>
        <xdr:cNvPr id="27" name="Прямая со стрелкой 26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>
          <a:off x="2325559" y="29907757"/>
          <a:ext cx="0" cy="1325932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740276</xdr:colOff>
      <xdr:row>23</xdr:row>
      <xdr:rowOff>1371626</xdr:rowOff>
    </xdr:from>
    <xdr:to>
      <xdr:col>3</xdr:col>
      <xdr:colOff>812276</xdr:colOff>
      <xdr:row>23</xdr:row>
      <xdr:rowOff>1443626</xdr:rowOff>
    </xdr:to>
    <xdr:sp macro="" textlink="">
      <xdr:nvSpPr>
        <xdr:cNvPr id="28" name="Овал 2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283326" y="31203926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785900</xdr:colOff>
      <xdr:row>23</xdr:row>
      <xdr:rowOff>36732</xdr:rowOff>
    </xdr:from>
    <xdr:to>
      <xdr:col>3</xdr:col>
      <xdr:colOff>1009710</xdr:colOff>
      <xdr:row>23</xdr:row>
      <xdr:rowOff>905686</xdr:rowOff>
    </xdr:to>
    <xdr:cxnSp macro="">
      <xdr:nvCxnSpPr>
        <xdr:cNvPr id="29" name="Прямая со стрелкой 28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 flipV="1">
          <a:off x="2328950" y="29869032"/>
          <a:ext cx="223810" cy="868954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571500</xdr:colOff>
      <xdr:row>23</xdr:row>
      <xdr:rowOff>89284</xdr:rowOff>
    </xdr:from>
    <xdr:to>
      <xdr:col>3</xdr:col>
      <xdr:colOff>783462</xdr:colOff>
      <xdr:row>23</xdr:row>
      <xdr:rowOff>912221</xdr:rowOff>
    </xdr:to>
    <xdr:cxnSp macro="">
      <xdr:nvCxnSpPr>
        <xdr:cNvPr id="30" name="Прямая со стрелкой 29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 flipH="1" flipV="1">
          <a:off x="2114550" y="29921584"/>
          <a:ext cx="211962" cy="822937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807447</xdr:colOff>
      <xdr:row>26</xdr:row>
      <xdr:rowOff>68036</xdr:rowOff>
    </xdr:from>
    <xdr:to>
      <xdr:col>3</xdr:col>
      <xdr:colOff>807447</xdr:colOff>
      <xdr:row>26</xdr:row>
      <xdr:rowOff>1357576</xdr:rowOff>
    </xdr:to>
    <xdr:cxnSp macro="">
      <xdr:nvCxnSpPr>
        <xdr:cNvPr id="31" name="Прямая со стрелкой 30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350497" y="34472336"/>
          <a:ext cx="0" cy="1289540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766454</xdr:colOff>
      <xdr:row>26</xdr:row>
      <xdr:rowOff>1339880</xdr:rowOff>
    </xdr:from>
    <xdr:to>
      <xdr:col>3</xdr:col>
      <xdr:colOff>838454</xdr:colOff>
      <xdr:row>26</xdr:row>
      <xdr:rowOff>1411880</xdr:rowOff>
    </xdr:to>
    <xdr:sp macro="" textlink="">
      <xdr:nvSpPr>
        <xdr:cNvPr id="32" name="Овал 31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309504" y="35744180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1177659</xdr:colOff>
      <xdr:row>26</xdr:row>
      <xdr:rowOff>866942</xdr:rowOff>
    </xdr:from>
    <xdr:to>
      <xdr:col>3</xdr:col>
      <xdr:colOff>1177659</xdr:colOff>
      <xdr:row>26</xdr:row>
      <xdr:rowOff>866942</xdr:rowOff>
    </xdr:to>
    <xdr:cxnSp macro="">
      <xdr:nvCxnSpPr>
        <xdr:cNvPr id="33" name="Прямая соединительная линия 32"/>
        <xdr:cNvCxnSpPr/>
      </xdr:nvCxnSpPr>
      <xdr:spPr>
        <a:xfrm>
          <a:off x="2720709" y="35271242"/>
          <a:ext cx="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968507</xdr:colOff>
      <xdr:row>26</xdr:row>
      <xdr:rowOff>68978</xdr:rowOff>
    </xdr:from>
    <xdr:ext cx="609653" cy="609653"/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00000000-0008-0000-09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2707" y="34473278"/>
          <a:ext cx="609653" cy="609653"/>
        </a:xfrm>
        <a:prstGeom prst="rect">
          <a:avLst/>
        </a:prstGeom>
        <a:ln w="19050">
          <a:noFill/>
        </a:ln>
      </xdr:spPr>
    </xdr:pic>
    <xdr:clientData/>
  </xdr:oneCellAnchor>
  <xdr:twoCellAnchor>
    <xdr:from>
      <xdr:col>3</xdr:col>
      <xdr:colOff>782509</xdr:colOff>
      <xdr:row>24</xdr:row>
      <xdr:rowOff>83740</xdr:rowOff>
    </xdr:from>
    <xdr:to>
      <xdr:col>3</xdr:col>
      <xdr:colOff>782509</xdr:colOff>
      <xdr:row>24</xdr:row>
      <xdr:rowOff>1409672</xdr:rowOff>
    </xdr:to>
    <xdr:cxnSp macro="">
      <xdr:nvCxnSpPr>
        <xdr:cNvPr id="35" name="Прямая со стрелкой 34">
          <a:extLst>
            <a:ext uri="{FF2B5EF4-FFF2-40B4-BE49-F238E27FC236}">
              <a16:creationId xmlns:a16="http://schemas.microsoft.com/office/drawing/2014/main" xmlns="" id="{00000000-0008-0000-0900-00004B020000}"/>
            </a:ext>
          </a:extLst>
        </xdr:cNvPr>
        <xdr:cNvCxnSpPr/>
      </xdr:nvCxnSpPr>
      <xdr:spPr>
        <a:xfrm>
          <a:off x="2325559" y="31440040"/>
          <a:ext cx="0" cy="1325932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740276</xdr:colOff>
      <xdr:row>24</xdr:row>
      <xdr:rowOff>1379909</xdr:rowOff>
    </xdr:from>
    <xdr:to>
      <xdr:col>3</xdr:col>
      <xdr:colOff>812276</xdr:colOff>
      <xdr:row>24</xdr:row>
      <xdr:rowOff>1451909</xdr:rowOff>
    </xdr:to>
    <xdr:sp macro="" textlink="">
      <xdr:nvSpPr>
        <xdr:cNvPr id="36" name="Овал 35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283326" y="32736209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786848</xdr:colOff>
      <xdr:row>24</xdr:row>
      <xdr:rowOff>115957</xdr:rowOff>
    </xdr:from>
    <xdr:to>
      <xdr:col>3</xdr:col>
      <xdr:colOff>1250674</xdr:colOff>
      <xdr:row>24</xdr:row>
      <xdr:rowOff>1060174</xdr:rowOff>
    </xdr:to>
    <xdr:sp macro="" textlink="">
      <xdr:nvSpPr>
        <xdr:cNvPr id="37" name="Полилиния 36"/>
        <xdr:cNvSpPr/>
      </xdr:nvSpPr>
      <xdr:spPr>
        <a:xfrm>
          <a:off x="2329898" y="31472257"/>
          <a:ext cx="463826" cy="944217"/>
        </a:xfrm>
        <a:custGeom>
          <a:avLst/>
          <a:gdLst>
            <a:gd name="connsiteX0" fmla="*/ 0 w 463826"/>
            <a:gd name="connsiteY0" fmla="*/ 944217 h 944217"/>
            <a:gd name="connsiteX1" fmla="*/ 149087 w 463826"/>
            <a:gd name="connsiteY1" fmla="*/ 496956 h 944217"/>
            <a:gd name="connsiteX2" fmla="*/ 463826 w 463826"/>
            <a:gd name="connsiteY2" fmla="*/ 0 h 9442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63826" h="944217">
              <a:moveTo>
                <a:pt x="0" y="944217"/>
              </a:moveTo>
              <a:cubicBezTo>
                <a:pt x="35891" y="799271"/>
                <a:pt x="71783" y="654325"/>
                <a:pt x="149087" y="496956"/>
              </a:cubicBezTo>
              <a:cubicBezTo>
                <a:pt x="226391" y="339587"/>
                <a:pt x="345108" y="169793"/>
                <a:pt x="463826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802993</xdr:colOff>
      <xdr:row>22</xdr:row>
      <xdr:rowOff>81642</xdr:rowOff>
    </xdr:from>
    <xdr:to>
      <xdr:col>3</xdr:col>
      <xdr:colOff>802993</xdr:colOff>
      <xdr:row>22</xdr:row>
      <xdr:rowOff>1371182</xdr:rowOff>
    </xdr:to>
    <xdr:cxnSp macro="">
      <xdr:nvCxnSpPr>
        <xdr:cNvPr id="38" name="Прямая со стрелкой 37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346043" y="28389942"/>
          <a:ext cx="0" cy="1289540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762000</xdr:colOff>
      <xdr:row>22</xdr:row>
      <xdr:rowOff>1353486</xdr:rowOff>
    </xdr:from>
    <xdr:to>
      <xdr:col>3</xdr:col>
      <xdr:colOff>834000</xdr:colOff>
      <xdr:row>22</xdr:row>
      <xdr:rowOff>1425486</xdr:rowOff>
    </xdr:to>
    <xdr:sp macro="" textlink="">
      <xdr:nvSpPr>
        <xdr:cNvPr id="39" name="Овал 38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305050" y="29661786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157843</xdr:colOff>
      <xdr:row>8</xdr:row>
      <xdr:rowOff>123583</xdr:rowOff>
    </xdr:from>
    <xdr:to>
      <xdr:col>5</xdr:col>
      <xdr:colOff>966109</xdr:colOff>
      <xdr:row>8</xdr:row>
      <xdr:rowOff>1387928</xdr:rowOff>
    </xdr:to>
    <xdr:sp macro="" textlink="">
      <xdr:nvSpPr>
        <xdr:cNvPr id="40" name="TextBox 39"/>
        <xdr:cNvSpPr txBox="1"/>
      </xdr:nvSpPr>
      <xdr:spPr>
        <a:xfrm>
          <a:off x="3282043" y="7095883"/>
          <a:ext cx="2189391" cy="1264345"/>
        </a:xfrm>
        <a:prstGeom prst="rect">
          <a:avLst/>
        </a:prstGeom>
        <a:solidFill>
          <a:srgbClr val="FFFF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400"/>
            <a:t>Далее - без ВКВ, раннее прибытие на КВ-4 не пенализируется в пределах льготы"</a:t>
          </a:r>
        </a:p>
      </xdr:txBody>
    </xdr:sp>
    <xdr:clientData/>
  </xdr:twoCellAnchor>
  <xdr:twoCellAnchor>
    <xdr:from>
      <xdr:col>3</xdr:col>
      <xdr:colOff>807447</xdr:colOff>
      <xdr:row>25</xdr:row>
      <xdr:rowOff>90447</xdr:rowOff>
    </xdr:from>
    <xdr:to>
      <xdr:col>3</xdr:col>
      <xdr:colOff>807447</xdr:colOff>
      <xdr:row>25</xdr:row>
      <xdr:rowOff>1379987</xdr:rowOff>
    </xdr:to>
    <xdr:cxnSp macro="">
      <xdr:nvCxnSpPr>
        <xdr:cNvPr id="41" name="Прямая со стрелкой 40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350497" y="32970747"/>
          <a:ext cx="0" cy="1289540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766454</xdr:colOff>
      <xdr:row>25</xdr:row>
      <xdr:rowOff>1362291</xdr:rowOff>
    </xdr:from>
    <xdr:to>
      <xdr:col>3</xdr:col>
      <xdr:colOff>838454</xdr:colOff>
      <xdr:row>25</xdr:row>
      <xdr:rowOff>1434291</xdr:rowOff>
    </xdr:to>
    <xdr:sp macro="" textlink="">
      <xdr:nvSpPr>
        <xdr:cNvPr id="42" name="Овал 41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309504" y="34242591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1188865</xdr:colOff>
      <xdr:row>25</xdr:row>
      <xdr:rowOff>889353</xdr:rowOff>
    </xdr:from>
    <xdr:to>
      <xdr:col>3</xdr:col>
      <xdr:colOff>1188865</xdr:colOff>
      <xdr:row>25</xdr:row>
      <xdr:rowOff>889353</xdr:rowOff>
    </xdr:to>
    <xdr:cxnSp macro="">
      <xdr:nvCxnSpPr>
        <xdr:cNvPr id="43" name="Прямая соединительная линия 42"/>
        <xdr:cNvCxnSpPr/>
      </xdr:nvCxnSpPr>
      <xdr:spPr>
        <a:xfrm>
          <a:off x="2731915" y="33769653"/>
          <a:ext cx="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807865</xdr:colOff>
      <xdr:row>25</xdr:row>
      <xdr:rowOff>786775</xdr:rowOff>
    </xdr:from>
    <xdr:to>
      <xdr:col>3</xdr:col>
      <xdr:colOff>1502019</xdr:colOff>
      <xdr:row>25</xdr:row>
      <xdr:rowOff>786775</xdr:rowOff>
    </xdr:to>
    <xdr:cxnSp macro="">
      <xdr:nvCxnSpPr>
        <xdr:cNvPr id="44" name="Прямая соединительная линия 43"/>
        <xdr:cNvCxnSpPr/>
      </xdr:nvCxnSpPr>
      <xdr:spPr>
        <a:xfrm>
          <a:off x="2350915" y="33667075"/>
          <a:ext cx="694154" cy="0"/>
        </a:xfrm>
        <a:prstGeom prst="line">
          <a:avLst/>
        </a:prstGeom>
        <a:ln w="19050">
          <a:solidFill>
            <a:schemeClr val="tx1"/>
          </a:solidFill>
          <a:prstDash val="sysDot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1103437</xdr:colOff>
      <xdr:row>25</xdr:row>
      <xdr:rowOff>598090</xdr:rowOff>
    </xdr:from>
    <xdr:to>
      <xdr:col>3</xdr:col>
      <xdr:colOff>1154816</xdr:colOff>
      <xdr:row>25</xdr:row>
      <xdr:rowOff>978569</xdr:rowOff>
    </xdr:to>
    <xdr:grpSp>
      <xdr:nvGrpSpPr>
        <xdr:cNvPr id="45" name="Группа 44">
          <a:extLst>
            <a:ext uri="{FF2B5EF4-FFF2-40B4-BE49-F238E27FC236}">
              <a16:creationId xmlns:a16="http://schemas.microsoft.com/office/drawing/2014/main" xmlns="" id="{00000000-0008-0000-0600-000058000000}"/>
            </a:ext>
          </a:extLst>
        </xdr:cNvPr>
        <xdr:cNvGrpSpPr/>
      </xdr:nvGrpSpPr>
      <xdr:grpSpPr>
        <a:xfrm rot="-5400000">
          <a:off x="2481937" y="33642940"/>
          <a:ext cx="380479" cy="51379"/>
          <a:chOff x="744834" y="5046016"/>
          <a:chExt cx="380479" cy="51379"/>
        </a:xfrm>
      </xdr:grpSpPr>
      <xdr:cxnSp macro="">
        <xdr:nvCxnSpPr>
          <xdr:cNvPr id="46" name="Прямая со стрелкой 45">
            <a:extLst>
              <a:ext uri="{FF2B5EF4-FFF2-40B4-BE49-F238E27FC236}">
                <a16:creationId xmlns:a16="http://schemas.microsoft.com/office/drawing/2014/main" xmlns="" id="{00000000-0008-0000-0600-00003E000000}"/>
              </a:ext>
            </a:extLst>
          </xdr:cNvPr>
          <xdr:cNvCxnSpPr/>
        </xdr:nvCxnSpPr>
        <xdr:spPr>
          <a:xfrm flipH="1">
            <a:off x="797770" y="5076837"/>
            <a:ext cx="116554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47" name="Овал 46">
            <a:extLst>
              <a:ext uri="{FF2B5EF4-FFF2-40B4-BE49-F238E27FC236}">
                <a16:creationId xmlns:a16="http://schemas.microsoft.com/office/drawing/2014/main" xmlns="" id="{00000000-0008-0000-0600-00003F000000}"/>
              </a:ext>
            </a:extLst>
          </xdr:cNvPr>
          <xdr:cNvSpPr/>
        </xdr:nvSpPr>
        <xdr:spPr>
          <a:xfrm>
            <a:off x="744834" y="5046016"/>
            <a:ext cx="46800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">
        <xdr:nvSpPr>
          <xdr:cNvPr id="48" name="Овал 47">
            <a:extLst>
              <a:ext uri="{FF2B5EF4-FFF2-40B4-BE49-F238E27FC236}">
                <a16:creationId xmlns:a16="http://schemas.microsoft.com/office/drawing/2014/main" xmlns="" id="{00000000-0008-0000-0600-000040000000}"/>
              </a:ext>
            </a:extLst>
          </xdr:cNvPr>
          <xdr:cNvSpPr/>
        </xdr:nvSpPr>
        <xdr:spPr>
          <a:xfrm>
            <a:off x="1078513" y="5046016"/>
            <a:ext cx="46800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49" name="Прямая со стрелкой 48">
            <a:extLst>
              <a:ext uri="{FF2B5EF4-FFF2-40B4-BE49-F238E27FC236}">
                <a16:creationId xmlns:a16="http://schemas.microsoft.com/office/drawing/2014/main" xmlns="" id="{00000000-0008-0000-0600-000041000000}"/>
              </a:ext>
            </a:extLst>
          </xdr:cNvPr>
          <xdr:cNvCxnSpPr/>
        </xdr:nvCxnSpPr>
        <xdr:spPr>
          <a:xfrm flipH="1">
            <a:off x="954671" y="5076837"/>
            <a:ext cx="119572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972344</xdr:colOff>
      <xdr:row>26</xdr:row>
      <xdr:rowOff>705978</xdr:rowOff>
    </xdr:from>
    <xdr:to>
      <xdr:col>3</xdr:col>
      <xdr:colOff>1044344</xdr:colOff>
      <xdr:row>26</xdr:row>
      <xdr:rowOff>777978</xdr:rowOff>
    </xdr:to>
    <xdr:sp macro="" textlink="">
      <xdr:nvSpPr>
        <xdr:cNvPr id="50" name="5-конечная звезда 49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515394" y="35110278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537900</xdr:colOff>
      <xdr:row>26</xdr:row>
      <xdr:rowOff>713305</xdr:rowOff>
    </xdr:from>
    <xdr:to>
      <xdr:col>3</xdr:col>
      <xdr:colOff>609900</xdr:colOff>
      <xdr:row>26</xdr:row>
      <xdr:rowOff>785305</xdr:rowOff>
    </xdr:to>
    <xdr:sp macro="" textlink="">
      <xdr:nvSpPr>
        <xdr:cNvPr id="51" name="5-конечная звезда 50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2080950" y="35117605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836123</xdr:colOff>
      <xdr:row>5</xdr:row>
      <xdr:rowOff>88673</xdr:rowOff>
    </xdr:from>
    <xdr:to>
      <xdr:col>3</xdr:col>
      <xdr:colOff>836123</xdr:colOff>
      <xdr:row>5</xdr:row>
      <xdr:rowOff>1378213</xdr:rowOff>
    </xdr:to>
    <xdr:cxnSp macro="">
      <xdr:nvCxnSpPr>
        <xdr:cNvPr id="52" name="Прямая со стрелкой 51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379173" y="2488973"/>
          <a:ext cx="0" cy="1289540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795130</xdr:colOff>
      <xdr:row>5</xdr:row>
      <xdr:rowOff>1360517</xdr:rowOff>
    </xdr:from>
    <xdr:to>
      <xdr:col>3</xdr:col>
      <xdr:colOff>867130</xdr:colOff>
      <xdr:row>5</xdr:row>
      <xdr:rowOff>1432517</xdr:rowOff>
    </xdr:to>
    <xdr:sp macro="" textlink="">
      <xdr:nvSpPr>
        <xdr:cNvPr id="53" name="Овал 52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338180" y="3760817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998601</xdr:colOff>
      <xdr:row>5</xdr:row>
      <xdr:rowOff>738622</xdr:rowOff>
    </xdr:from>
    <xdr:to>
      <xdr:col>3</xdr:col>
      <xdr:colOff>1070601</xdr:colOff>
      <xdr:row>5</xdr:row>
      <xdr:rowOff>810622</xdr:rowOff>
    </xdr:to>
    <xdr:sp macro="" textlink="">
      <xdr:nvSpPr>
        <xdr:cNvPr id="54" name="5-конечная звезда 53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541651" y="3138922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836123</xdr:colOff>
      <xdr:row>6</xdr:row>
      <xdr:rowOff>77467</xdr:rowOff>
    </xdr:from>
    <xdr:to>
      <xdr:col>3</xdr:col>
      <xdr:colOff>836123</xdr:colOff>
      <xdr:row>6</xdr:row>
      <xdr:rowOff>1367007</xdr:rowOff>
    </xdr:to>
    <xdr:cxnSp macro="">
      <xdr:nvCxnSpPr>
        <xdr:cNvPr id="55" name="Прямая со стрелкой 54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379173" y="4001767"/>
          <a:ext cx="0" cy="1289540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795130</xdr:colOff>
      <xdr:row>6</xdr:row>
      <xdr:rowOff>1349311</xdr:rowOff>
    </xdr:from>
    <xdr:to>
      <xdr:col>3</xdr:col>
      <xdr:colOff>867130</xdr:colOff>
      <xdr:row>6</xdr:row>
      <xdr:rowOff>1421311</xdr:rowOff>
    </xdr:to>
    <xdr:sp macro="" textlink="">
      <xdr:nvSpPr>
        <xdr:cNvPr id="56" name="Овал 55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338180" y="5273611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998601</xdr:colOff>
      <xdr:row>6</xdr:row>
      <xdr:rowOff>727416</xdr:rowOff>
    </xdr:from>
    <xdr:to>
      <xdr:col>3</xdr:col>
      <xdr:colOff>1070601</xdr:colOff>
      <xdr:row>6</xdr:row>
      <xdr:rowOff>799416</xdr:rowOff>
    </xdr:to>
    <xdr:sp macro="" textlink="">
      <xdr:nvSpPr>
        <xdr:cNvPr id="57" name="5-конечная звезда 56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541651" y="4651716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836123</xdr:colOff>
      <xdr:row>7</xdr:row>
      <xdr:rowOff>77467</xdr:rowOff>
    </xdr:from>
    <xdr:to>
      <xdr:col>3</xdr:col>
      <xdr:colOff>836123</xdr:colOff>
      <xdr:row>7</xdr:row>
      <xdr:rowOff>1367007</xdr:rowOff>
    </xdr:to>
    <xdr:cxnSp macro="">
      <xdr:nvCxnSpPr>
        <xdr:cNvPr id="58" name="Прямая со стрелкой 57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379173" y="5525767"/>
          <a:ext cx="0" cy="1289540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795130</xdr:colOff>
      <xdr:row>7</xdr:row>
      <xdr:rowOff>1349311</xdr:rowOff>
    </xdr:from>
    <xdr:to>
      <xdr:col>3</xdr:col>
      <xdr:colOff>867130</xdr:colOff>
      <xdr:row>7</xdr:row>
      <xdr:rowOff>1421311</xdr:rowOff>
    </xdr:to>
    <xdr:sp macro="" textlink="">
      <xdr:nvSpPr>
        <xdr:cNvPr id="59" name="Овал 58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338180" y="6797611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998601</xdr:colOff>
      <xdr:row>7</xdr:row>
      <xdr:rowOff>727416</xdr:rowOff>
    </xdr:from>
    <xdr:to>
      <xdr:col>3</xdr:col>
      <xdr:colOff>1070601</xdr:colOff>
      <xdr:row>7</xdr:row>
      <xdr:rowOff>799416</xdr:rowOff>
    </xdr:to>
    <xdr:sp macro="" textlink="">
      <xdr:nvSpPr>
        <xdr:cNvPr id="60" name="5-конечная звезда 59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541651" y="6175716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481853</xdr:colOff>
      <xdr:row>5</xdr:row>
      <xdr:rowOff>549089</xdr:rowOff>
    </xdr:from>
    <xdr:to>
      <xdr:col>5</xdr:col>
      <xdr:colOff>596232</xdr:colOff>
      <xdr:row>5</xdr:row>
      <xdr:rowOff>939614</xdr:rowOff>
    </xdr:to>
    <xdr:sp macro="" textlink="">
      <xdr:nvSpPr>
        <xdr:cNvPr id="61" name="Прямоугольник 60"/>
        <xdr:cNvSpPr/>
      </xdr:nvSpPr>
      <xdr:spPr>
        <a:xfrm>
          <a:off x="3606053" y="2949389"/>
          <a:ext cx="1495504" cy="390525"/>
        </a:xfrm>
        <a:prstGeom prst="rect">
          <a:avLst/>
        </a:prstGeom>
        <a:solidFill>
          <a:schemeClr val="bg1"/>
        </a:solidFill>
        <a:ln w="19050">
          <a:solidFill>
            <a:schemeClr val="dk1">
              <a:shade val="95000"/>
              <a:satMod val="105000"/>
            </a:schemeClr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 b="1">
              <a:solidFill>
                <a:sysClr val="windowText" lastClr="000000"/>
              </a:solidFill>
            </a:rPr>
            <a:t>?</a:t>
          </a:r>
        </a:p>
      </xdr:txBody>
    </xdr:sp>
    <xdr:clientData/>
  </xdr:twoCellAnchor>
  <xdr:twoCellAnchor>
    <xdr:from>
      <xdr:col>4</xdr:col>
      <xdr:colOff>481853</xdr:colOff>
      <xdr:row>6</xdr:row>
      <xdr:rowOff>549090</xdr:rowOff>
    </xdr:from>
    <xdr:to>
      <xdr:col>5</xdr:col>
      <xdr:colOff>596232</xdr:colOff>
      <xdr:row>6</xdr:row>
      <xdr:rowOff>939615</xdr:rowOff>
    </xdr:to>
    <xdr:sp macro="" textlink="">
      <xdr:nvSpPr>
        <xdr:cNvPr id="62" name="Прямоугольник 61"/>
        <xdr:cNvSpPr/>
      </xdr:nvSpPr>
      <xdr:spPr>
        <a:xfrm>
          <a:off x="3606053" y="4473390"/>
          <a:ext cx="1495504" cy="390525"/>
        </a:xfrm>
        <a:prstGeom prst="rect">
          <a:avLst/>
        </a:prstGeom>
        <a:solidFill>
          <a:schemeClr val="bg1"/>
        </a:solidFill>
        <a:ln w="19050">
          <a:solidFill>
            <a:schemeClr val="dk1">
              <a:shade val="95000"/>
              <a:satMod val="105000"/>
            </a:schemeClr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 b="1">
              <a:solidFill>
                <a:sysClr val="windowText" lastClr="000000"/>
              </a:solidFill>
            </a:rPr>
            <a:t>?</a:t>
          </a:r>
        </a:p>
      </xdr:txBody>
    </xdr:sp>
    <xdr:clientData/>
  </xdr:twoCellAnchor>
  <xdr:twoCellAnchor>
    <xdr:from>
      <xdr:col>4</xdr:col>
      <xdr:colOff>481853</xdr:colOff>
      <xdr:row>7</xdr:row>
      <xdr:rowOff>571502</xdr:rowOff>
    </xdr:from>
    <xdr:to>
      <xdr:col>5</xdr:col>
      <xdr:colOff>596232</xdr:colOff>
      <xdr:row>7</xdr:row>
      <xdr:rowOff>962027</xdr:rowOff>
    </xdr:to>
    <xdr:sp macro="" textlink="">
      <xdr:nvSpPr>
        <xdr:cNvPr id="63" name="Прямоугольник 62"/>
        <xdr:cNvSpPr/>
      </xdr:nvSpPr>
      <xdr:spPr>
        <a:xfrm>
          <a:off x="3606053" y="6019802"/>
          <a:ext cx="1495504" cy="390525"/>
        </a:xfrm>
        <a:prstGeom prst="rect">
          <a:avLst/>
        </a:prstGeom>
        <a:solidFill>
          <a:schemeClr val="bg1"/>
        </a:solidFill>
        <a:ln w="19050">
          <a:solidFill>
            <a:schemeClr val="dk1">
              <a:shade val="95000"/>
              <a:satMod val="105000"/>
            </a:schemeClr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 b="1">
              <a:solidFill>
                <a:sysClr val="windowText" lastClr="000000"/>
              </a:solidFill>
            </a:rPr>
            <a:t>?</a:t>
          </a:r>
        </a:p>
      </xdr:txBody>
    </xdr:sp>
    <xdr:clientData/>
  </xdr:twoCellAnchor>
  <xdr:twoCellAnchor>
    <xdr:from>
      <xdr:col>3</xdr:col>
      <xdr:colOff>202009</xdr:colOff>
      <xdr:row>9</xdr:row>
      <xdr:rowOff>643086</xdr:rowOff>
    </xdr:from>
    <xdr:to>
      <xdr:col>3</xdr:col>
      <xdr:colOff>591511</xdr:colOff>
      <xdr:row>9</xdr:row>
      <xdr:rowOff>719577</xdr:rowOff>
    </xdr:to>
    <xdr:cxnSp macro="">
      <xdr:nvCxnSpPr>
        <xdr:cNvPr id="64" name="Прямая со стрелкой 63">
          <a:extLst>
            <a:ext uri="{FF2B5EF4-FFF2-40B4-BE49-F238E27FC236}">
              <a16:creationId xmlns:a16="http://schemas.microsoft.com/office/drawing/2014/main" xmlns="" id="{00000000-0008-0000-0900-00003C020000}"/>
            </a:ext>
          </a:extLst>
        </xdr:cNvPr>
        <xdr:cNvCxnSpPr/>
      </xdr:nvCxnSpPr>
      <xdr:spPr>
        <a:xfrm>
          <a:off x="1745059" y="9139386"/>
          <a:ext cx="389502" cy="76491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891383</xdr:colOff>
      <xdr:row>11</xdr:row>
      <xdr:rowOff>207821</xdr:rowOff>
    </xdr:from>
    <xdr:to>
      <xdr:col>5</xdr:col>
      <xdr:colOff>217777</xdr:colOff>
      <xdr:row>11</xdr:row>
      <xdr:rowOff>927821</xdr:rowOff>
    </xdr:to>
    <xdr:pic>
      <xdr:nvPicPr>
        <xdr:cNvPr id="65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5583" y="11752121"/>
          <a:ext cx="70751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336176</xdr:colOff>
      <xdr:row>22</xdr:row>
      <xdr:rowOff>775569</xdr:rowOff>
    </xdr:from>
    <xdr:to>
      <xdr:col>3</xdr:col>
      <xdr:colOff>796049</xdr:colOff>
      <xdr:row>22</xdr:row>
      <xdr:rowOff>775569</xdr:rowOff>
    </xdr:to>
    <xdr:cxnSp macro="">
      <xdr:nvCxnSpPr>
        <xdr:cNvPr id="66" name="Прямая соединительная линия 65"/>
        <xdr:cNvCxnSpPr/>
      </xdr:nvCxnSpPr>
      <xdr:spPr>
        <a:xfrm flipH="1">
          <a:off x="1879226" y="29083869"/>
          <a:ext cx="459873" cy="0"/>
        </a:xfrm>
        <a:prstGeom prst="line">
          <a:avLst/>
        </a:prstGeom>
        <a:ln w="19050">
          <a:solidFill>
            <a:schemeClr val="tx1"/>
          </a:solidFill>
          <a:prstDash val="sysDot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828675</xdr:colOff>
      <xdr:row>10</xdr:row>
      <xdr:rowOff>114300</xdr:rowOff>
    </xdr:from>
    <xdr:to>
      <xdr:col>3</xdr:col>
      <xdr:colOff>1171575</xdr:colOff>
      <xdr:row>10</xdr:row>
      <xdr:rowOff>723901</xdr:rowOff>
    </xdr:to>
    <xdr:cxnSp macro="">
      <xdr:nvCxnSpPr>
        <xdr:cNvPr id="67" name="Прямая соединительная линия 66"/>
        <xdr:cNvCxnSpPr/>
      </xdr:nvCxnSpPr>
      <xdr:spPr>
        <a:xfrm flipV="1">
          <a:off x="2371725" y="10134600"/>
          <a:ext cx="342900" cy="609601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136069</xdr:colOff>
      <xdr:row>26</xdr:row>
      <xdr:rowOff>707572</xdr:rowOff>
    </xdr:from>
    <xdr:to>
      <xdr:col>5</xdr:col>
      <xdr:colOff>944335</xdr:colOff>
      <xdr:row>26</xdr:row>
      <xdr:rowOff>1265464</xdr:rowOff>
    </xdr:to>
    <xdr:sp macro="" textlink="">
      <xdr:nvSpPr>
        <xdr:cNvPr id="68" name="TextBox 67"/>
        <xdr:cNvSpPr txBox="1"/>
      </xdr:nvSpPr>
      <xdr:spPr>
        <a:xfrm>
          <a:off x="3260269" y="35111872"/>
          <a:ext cx="2189391" cy="557892"/>
        </a:xfrm>
        <a:prstGeom prst="rect">
          <a:avLst/>
        </a:prstGeom>
        <a:solidFill>
          <a:srgbClr val="FFFF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400"/>
            <a:t>Судейский пункт находится в здании </a:t>
          </a:r>
          <a:r>
            <a:rPr lang="en-US" sz="1400"/>
            <a:t>Skoda</a:t>
          </a:r>
          <a:endParaRPr lang="ru-RU" sz="14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66675</xdr:rowOff>
    </xdr:from>
    <xdr:to>
      <xdr:col>1</xdr:col>
      <xdr:colOff>438229</xdr:colOff>
      <xdr:row>1</xdr:row>
      <xdr:rowOff>223684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66675"/>
          <a:ext cx="914479" cy="423709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21</xdr:row>
      <xdr:rowOff>57150</xdr:rowOff>
    </xdr:from>
    <xdr:to>
      <xdr:col>1</xdr:col>
      <xdr:colOff>466804</xdr:colOff>
      <xdr:row>22</xdr:row>
      <xdr:rowOff>214159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5324475"/>
          <a:ext cx="914479" cy="42370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57150</xdr:rowOff>
    </xdr:from>
    <xdr:to>
      <xdr:col>2</xdr:col>
      <xdr:colOff>619204</xdr:colOff>
      <xdr:row>1</xdr:row>
      <xdr:rowOff>214159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57150"/>
          <a:ext cx="914479" cy="423709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57150</xdr:rowOff>
    </xdr:from>
    <xdr:to>
      <xdr:col>1</xdr:col>
      <xdr:colOff>638254</xdr:colOff>
      <xdr:row>1</xdr:row>
      <xdr:rowOff>214159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57150"/>
          <a:ext cx="914479" cy="423709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66675</xdr:rowOff>
    </xdr:from>
    <xdr:to>
      <xdr:col>1</xdr:col>
      <xdr:colOff>628729</xdr:colOff>
      <xdr:row>1</xdr:row>
      <xdr:rowOff>223684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66675"/>
          <a:ext cx="914479" cy="423709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66675</xdr:rowOff>
    </xdr:from>
    <xdr:to>
      <xdr:col>1</xdr:col>
      <xdr:colOff>638254</xdr:colOff>
      <xdr:row>1</xdr:row>
      <xdr:rowOff>223684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66675"/>
          <a:ext cx="914479" cy="423709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1</xdr:col>
      <xdr:colOff>647779</xdr:colOff>
      <xdr:row>1</xdr:row>
      <xdr:rowOff>214159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57150"/>
          <a:ext cx="914479" cy="423709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57150</xdr:rowOff>
    </xdr:from>
    <xdr:to>
      <xdr:col>1</xdr:col>
      <xdr:colOff>619204</xdr:colOff>
      <xdr:row>1</xdr:row>
      <xdr:rowOff>214159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7150"/>
          <a:ext cx="914479" cy="4237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76200</xdr:rowOff>
    </xdr:from>
    <xdr:to>
      <xdr:col>1</xdr:col>
      <xdr:colOff>466804</xdr:colOff>
      <xdr:row>1</xdr:row>
      <xdr:rowOff>233209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76200"/>
          <a:ext cx="914479" cy="42370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1</xdr:col>
      <xdr:colOff>647779</xdr:colOff>
      <xdr:row>1</xdr:row>
      <xdr:rowOff>214159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57150"/>
          <a:ext cx="914479" cy="423709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66675</xdr:rowOff>
    </xdr:from>
    <xdr:to>
      <xdr:col>1</xdr:col>
      <xdr:colOff>628729</xdr:colOff>
      <xdr:row>1</xdr:row>
      <xdr:rowOff>223684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66675"/>
          <a:ext cx="914479" cy="423709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57150</xdr:rowOff>
    </xdr:from>
    <xdr:to>
      <xdr:col>1</xdr:col>
      <xdr:colOff>619204</xdr:colOff>
      <xdr:row>1</xdr:row>
      <xdr:rowOff>214159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7150"/>
          <a:ext cx="914479" cy="423709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1</xdr:col>
      <xdr:colOff>647779</xdr:colOff>
      <xdr:row>1</xdr:row>
      <xdr:rowOff>214159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57150"/>
          <a:ext cx="914479" cy="423709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66675</xdr:rowOff>
    </xdr:from>
    <xdr:to>
      <xdr:col>1</xdr:col>
      <xdr:colOff>628729</xdr:colOff>
      <xdr:row>1</xdr:row>
      <xdr:rowOff>223684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66675"/>
          <a:ext cx="914479" cy="423709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1</xdr:col>
      <xdr:colOff>647779</xdr:colOff>
      <xdr:row>1</xdr:row>
      <xdr:rowOff>214159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57150"/>
          <a:ext cx="914479" cy="423709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57150</xdr:rowOff>
    </xdr:from>
    <xdr:to>
      <xdr:col>1</xdr:col>
      <xdr:colOff>628729</xdr:colOff>
      <xdr:row>1</xdr:row>
      <xdr:rowOff>214159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914479" cy="423709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428625</xdr:colOff>
      <xdr:row>16</xdr:row>
      <xdr:rowOff>104775</xdr:rowOff>
    </xdr:from>
    <xdr:to>
      <xdr:col>0</xdr:col>
      <xdr:colOff>5485768</xdr:colOff>
      <xdr:row>32</xdr:row>
      <xdr:rowOff>161537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5" y="4181475"/>
          <a:ext cx="5057143" cy="3104762"/>
        </a:xfrm>
        <a:prstGeom prst="rect">
          <a:avLst/>
        </a:prstGeom>
      </xdr:spPr>
    </xdr:pic>
    <xdr:clientData/>
  </xdr:twoCellAnchor>
  <xdr:twoCellAnchor>
    <xdr:from>
      <xdr:col>0</xdr:col>
      <xdr:colOff>615462</xdr:colOff>
      <xdr:row>21</xdr:row>
      <xdr:rowOff>12455</xdr:rowOff>
    </xdr:from>
    <xdr:to>
      <xdr:col>0</xdr:col>
      <xdr:colOff>5144965</xdr:colOff>
      <xdr:row>22</xdr:row>
      <xdr:rowOff>75467</xdr:rowOff>
    </xdr:to>
    <xdr:sp macro="" textlink="">
      <xdr:nvSpPr>
        <xdr:cNvPr id="3" name="Полилиния 2"/>
        <xdr:cNvSpPr/>
      </xdr:nvSpPr>
      <xdr:spPr>
        <a:xfrm>
          <a:off x="615462" y="5038724"/>
          <a:ext cx="4529503" cy="253512"/>
        </a:xfrm>
        <a:custGeom>
          <a:avLst/>
          <a:gdLst>
            <a:gd name="connsiteX0" fmla="*/ 0 w 3267075"/>
            <a:gd name="connsiteY0" fmla="*/ 200025 h 1371600"/>
            <a:gd name="connsiteX1" fmla="*/ 161925 w 3267075"/>
            <a:gd name="connsiteY1" fmla="*/ 0 h 1371600"/>
            <a:gd name="connsiteX2" fmla="*/ 1371600 w 3267075"/>
            <a:gd name="connsiteY2" fmla="*/ 381000 h 1371600"/>
            <a:gd name="connsiteX3" fmla="*/ 2209800 w 3267075"/>
            <a:gd name="connsiteY3" fmla="*/ 628650 h 1371600"/>
            <a:gd name="connsiteX4" fmla="*/ 3267075 w 3267075"/>
            <a:gd name="connsiteY4" fmla="*/ 895350 h 1371600"/>
            <a:gd name="connsiteX5" fmla="*/ 3181350 w 3267075"/>
            <a:gd name="connsiteY5" fmla="*/ 1371600 h 1371600"/>
            <a:gd name="connsiteX0" fmla="*/ 0 w 3413613"/>
            <a:gd name="connsiteY0" fmla="*/ 0 h 1384056"/>
            <a:gd name="connsiteX1" fmla="*/ 308463 w 3413613"/>
            <a:gd name="connsiteY1" fmla="*/ 12456 h 1384056"/>
            <a:gd name="connsiteX2" fmla="*/ 1518138 w 3413613"/>
            <a:gd name="connsiteY2" fmla="*/ 393456 h 1384056"/>
            <a:gd name="connsiteX3" fmla="*/ 2356338 w 3413613"/>
            <a:gd name="connsiteY3" fmla="*/ 641106 h 1384056"/>
            <a:gd name="connsiteX4" fmla="*/ 3413613 w 3413613"/>
            <a:gd name="connsiteY4" fmla="*/ 907806 h 1384056"/>
            <a:gd name="connsiteX5" fmla="*/ 3327888 w 3413613"/>
            <a:gd name="connsiteY5" fmla="*/ 1384056 h 1384056"/>
            <a:gd name="connsiteX0" fmla="*/ 0 w 3413613"/>
            <a:gd name="connsiteY0" fmla="*/ 0 h 1384056"/>
            <a:gd name="connsiteX1" fmla="*/ 308463 w 3413613"/>
            <a:gd name="connsiteY1" fmla="*/ 12456 h 1384056"/>
            <a:gd name="connsiteX2" fmla="*/ 1635368 w 3413613"/>
            <a:gd name="connsiteY2" fmla="*/ 122360 h 1384056"/>
            <a:gd name="connsiteX3" fmla="*/ 2356338 w 3413613"/>
            <a:gd name="connsiteY3" fmla="*/ 641106 h 1384056"/>
            <a:gd name="connsiteX4" fmla="*/ 3413613 w 3413613"/>
            <a:gd name="connsiteY4" fmla="*/ 907806 h 1384056"/>
            <a:gd name="connsiteX5" fmla="*/ 3327888 w 3413613"/>
            <a:gd name="connsiteY5" fmla="*/ 1384056 h 1384056"/>
            <a:gd name="connsiteX0" fmla="*/ 0 w 3413613"/>
            <a:gd name="connsiteY0" fmla="*/ 0 h 1384056"/>
            <a:gd name="connsiteX1" fmla="*/ 308463 w 3413613"/>
            <a:gd name="connsiteY1" fmla="*/ 12456 h 1384056"/>
            <a:gd name="connsiteX2" fmla="*/ 1635368 w 3413613"/>
            <a:gd name="connsiteY2" fmla="*/ 122360 h 1384056"/>
            <a:gd name="connsiteX3" fmla="*/ 2576146 w 3413613"/>
            <a:gd name="connsiteY3" fmla="*/ 230799 h 1384056"/>
            <a:gd name="connsiteX4" fmla="*/ 3413613 w 3413613"/>
            <a:gd name="connsiteY4" fmla="*/ 907806 h 1384056"/>
            <a:gd name="connsiteX5" fmla="*/ 3327888 w 3413613"/>
            <a:gd name="connsiteY5" fmla="*/ 1384056 h 1384056"/>
            <a:gd name="connsiteX0" fmla="*/ 0 w 3860555"/>
            <a:gd name="connsiteY0" fmla="*/ 0 h 1384056"/>
            <a:gd name="connsiteX1" fmla="*/ 308463 w 3860555"/>
            <a:gd name="connsiteY1" fmla="*/ 12456 h 1384056"/>
            <a:gd name="connsiteX2" fmla="*/ 1635368 w 3860555"/>
            <a:gd name="connsiteY2" fmla="*/ 122360 h 1384056"/>
            <a:gd name="connsiteX3" fmla="*/ 2576146 w 3860555"/>
            <a:gd name="connsiteY3" fmla="*/ 230799 h 1384056"/>
            <a:gd name="connsiteX4" fmla="*/ 3860555 w 3860555"/>
            <a:gd name="connsiteY4" fmla="*/ 87191 h 1384056"/>
            <a:gd name="connsiteX5" fmla="*/ 3327888 w 3860555"/>
            <a:gd name="connsiteY5" fmla="*/ 1384056 h 1384056"/>
            <a:gd name="connsiteX0" fmla="*/ 0 w 4529503"/>
            <a:gd name="connsiteY0" fmla="*/ 22713 h 253512"/>
            <a:gd name="connsiteX1" fmla="*/ 308463 w 4529503"/>
            <a:gd name="connsiteY1" fmla="*/ 35169 h 253512"/>
            <a:gd name="connsiteX2" fmla="*/ 1635368 w 4529503"/>
            <a:gd name="connsiteY2" fmla="*/ 145073 h 253512"/>
            <a:gd name="connsiteX3" fmla="*/ 2576146 w 4529503"/>
            <a:gd name="connsiteY3" fmla="*/ 253512 h 253512"/>
            <a:gd name="connsiteX4" fmla="*/ 3860555 w 4529503"/>
            <a:gd name="connsiteY4" fmla="*/ 109904 h 253512"/>
            <a:gd name="connsiteX5" fmla="*/ 4529503 w 4529503"/>
            <a:gd name="connsiteY5" fmla="*/ 0 h 2535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4529503" h="253512">
              <a:moveTo>
                <a:pt x="0" y="22713"/>
              </a:moveTo>
              <a:lnTo>
                <a:pt x="308463" y="35169"/>
              </a:lnTo>
              <a:lnTo>
                <a:pt x="1635368" y="145073"/>
              </a:lnTo>
              <a:lnTo>
                <a:pt x="2576146" y="253512"/>
              </a:lnTo>
              <a:lnTo>
                <a:pt x="3860555" y="109904"/>
              </a:lnTo>
              <a:lnTo>
                <a:pt x="4529503" y="0"/>
              </a:lnTo>
            </a:path>
          </a:pathLst>
        </a:custGeom>
        <a:noFill/>
        <a:ln w="19050">
          <a:solidFill>
            <a:srgbClr val="FFFF00"/>
          </a:solidFill>
          <a:prstDash val="sysDot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4588328</xdr:colOff>
      <xdr:row>21</xdr:row>
      <xdr:rowOff>152401</xdr:rowOff>
    </xdr:from>
    <xdr:to>
      <xdr:col>0</xdr:col>
      <xdr:colOff>4686299</xdr:colOff>
      <xdr:row>22</xdr:row>
      <xdr:rowOff>152401</xdr:rowOff>
    </xdr:to>
    <xdr:sp macro="" textlink="">
      <xdr:nvSpPr>
        <xdr:cNvPr id="5" name="Прямоугольник 4"/>
        <xdr:cNvSpPr/>
      </xdr:nvSpPr>
      <xdr:spPr>
        <a:xfrm>
          <a:off x="4588328" y="5181601"/>
          <a:ext cx="97971" cy="190500"/>
        </a:xfrm>
        <a:prstGeom prst="rect">
          <a:avLst/>
        </a:prstGeom>
        <a:solidFill>
          <a:srgbClr val="FF000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4496803</xdr:colOff>
      <xdr:row>21</xdr:row>
      <xdr:rowOff>150396</xdr:rowOff>
    </xdr:from>
    <xdr:to>
      <xdr:col>0</xdr:col>
      <xdr:colOff>4501815</xdr:colOff>
      <xdr:row>22</xdr:row>
      <xdr:rowOff>55146</xdr:rowOff>
    </xdr:to>
    <xdr:cxnSp macro="">
      <xdr:nvCxnSpPr>
        <xdr:cNvPr id="7" name="Прямая соединительная линия 6"/>
        <xdr:cNvCxnSpPr/>
      </xdr:nvCxnSpPr>
      <xdr:spPr>
        <a:xfrm>
          <a:off x="4496803" y="5178593"/>
          <a:ext cx="5012" cy="95250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923925</xdr:colOff>
      <xdr:row>16</xdr:row>
      <xdr:rowOff>80598</xdr:rowOff>
    </xdr:from>
    <xdr:to>
      <xdr:col>0</xdr:col>
      <xdr:colOff>4371544</xdr:colOff>
      <xdr:row>31</xdr:row>
      <xdr:rowOff>51670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3925" y="4344867"/>
          <a:ext cx="3447619" cy="2828572"/>
        </a:xfrm>
        <a:prstGeom prst="rect">
          <a:avLst/>
        </a:prstGeom>
      </xdr:spPr>
    </xdr:pic>
    <xdr:clientData/>
  </xdr:twoCellAnchor>
  <xdr:twoCellAnchor>
    <xdr:from>
      <xdr:col>0</xdr:col>
      <xdr:colOff>2199751</xdr:colOff>
      <xdr:row>23</xdr:row>
      <xdr:rowOff>27846</xdr:rowOff>
    </xdr:from>
    <xdr:to>
      <xdr:col>0</xdr:col>
      <xdr:colOff>2297722</xdr:colOff>
      <xdr:row>24</xdr:row>
      <xdr:rowOff>27846</xdr:rowOff>
    </xdr:to>
    <xdr:sp macro="" textlink="">
      <xdr:nvSpPr>
        <xdr:cNvPr id="4" name="Прямоугольник 3"/>
        <xdr:cNvSpPr/>
      </xdr:nvSpPr>
      <xdr:spPr>
        <a:xfrm>
          <a:off x="2199751" y="5625615"/>
          <a:ext cx="97971" cy="190500"/>
        </a:xfrm>
        <a:prstGeom prst="rect">
          <a:avLst/>
        </a:prstGeom>
        <a:solidFill>
          <a:srgbClr val="0070C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2201160</xdr:colOff>
      <xdr:row>24</xdr:row>
      <xdr:rowOff>21982</xdr:rowOff>
    </xdr:from>
    <xdr:to>
      <xdr:col>0</xdr:col>
      <xdr:colOff>2322634</xdr:colOff>
      <xdr:row>24</xdr:row>
      <xdr:rowOff>113762</xdr:rowOff>
    </xdr:to>
    <xdr:cxnSp macro="">
      <xdr:nvCxnSpPr>
        <xdr:cNvPr id="5" name="Прямая соединительная линия 4"/>
        <xdr:cNvCxnSpPr/>
      </xdr:nvCxnSpPr>
      <xdr:spPr>
        <a:xfrm flipH="1">
          <a:off x="2201160" y="5810251"/>
          <a:ext cx="121474" cy="91780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1343025</xdr:colOff>
      <xdr:row>18</xdr:row>
      <xdr:rowOff>137748</xdr:rowOff>
    </xdr:from>
    <xdr:to>
      <xdr:col>0</xdr:col>
      <xdr:colOff>3324225</xdr:colOff>
      <xdr:row>30</xdr:row>
      <xdr:rowOff>23448</xdr:rowOff>
    </xdr:to>
    <xdr:sp macro="" textlink="">
      <xdr:nvSpPr>
        <xdr:cNvPr id="7" name="Полилиния 6"/>
        <xdr:cNvSpPr/>
      </xdr:nvSpPr>
      <xdr:spPr>
        <a:xfrm>
          <a:off x="1343025" y="4783017"/>
          <a:ext cx="1981200" cy="2171700"/>
        </a:xfrm>
        <a:custGeom>
          <a:avLst/>
          <a:gdLst>
            <a:gd name="connsiteX0" fmla="*/ 1981200 w 1981200"/>
            <a:gd name="connsiteY0" fmla="*/ 2171700 h 2171700"/>
            <a:gd name="connsiteX1" fmla="*/ 885825 w 1981200"/>
            <a:gd name="connsiteY1" fmla="*/ 1152525 h 2171700"/>
            <a:gd name="connsiteX2" fmla="*/ 504825 w 1981200"/>
            <a:gd name="connsiteY2" fmla="*/ 676275 h 2171700"/>
            <a:gd name="connsiteX3" fmla="*/ 0 w 1981200"/>
            <a:gd name="connsiteY3" fmla="*/ 0 h 21717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981200" h="2171700">
              <a:moveTo>
                <a:pt x="1981200" y="2171700"/>
              </a:moveTo>
              <a:lnTo>
                <a:pt x="885825" y="1152525"/>
              </a:lnTo>
              <a:lnTo>
                <a:pt x="504825" y="676275"/>
              </a:lnTo>
              <a:lnTo>
                <a:pt x="0" y="0"/>
              </a:lnTo>
            </a:path>
          </a:pathLst>
        </a:custGeom>
        <a:noFill/>
        <a:ln w="19050">
          <a:solidFill>
            <a:srgbClr val="FFFF00"/>
          </a:solidFill>
          <a:prstDash val="sysDot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57150</xdr:rowOff>
    </xdr:from>
    <xdr:to>
      <xdr:col>0</xdr:col>
      <xdr:colOff>6057148</xdr:colOff>
      <xdr:row>35</xdr:row>
      <xdr:rowOff>123436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5086350"/>
          <a:ext cx="6019048" cy="3114286"/>
        </a:xfrm>
        <a:prstGeom prst="rect">
          <a:avLst/>
        </a:prstGeom>
      </xdr:spPr>
    </xdr:pic>
    <xdr:clientData/>
  </xdr:twoCellAnchor>
  <xdr:twoCellAnchor>
    <xdr:from>
      <xdr:col>0</xdr:col>
      <xdr:colOff>1057275</xdr:colOff>
      <xdr:row>22</xdr:row>
      <xdr:rowOff>171450</xdr:rowOff>
    </xdr:from>
    <xdr:to>
      <xdr:col>0</xdr:col>
      <xdr:colOff>4324350</xdr:colOff>
      <xdr:row>30</xdr:row>
      <xdr:rowOff>19050</xdr:rowOff>
    </xdr:to>
    <xdr:sp macro="" textlink="">
      <xdr:nvSpPr>
        <xdr:cNvPr id="4" name="Полилиния 3"/>
        <xdr:cNvSpPr/>
      </xdr:nvSpPr>
      <xdr:spPr>
        <a:xfrm>
          <a:off x="1057275" y="5772150"/>
          <a:ext cx="3267075" cy="1371600"/>
        </a:xfrm>
        <a:custGeom>
          <a:avLst/>
          <a:gdLst>
            <a:gd name="connsiteX0" fmla="*/ 0 w 3267075"/>
            <a:gd name="connsiteY0" fmla="*/ 200025 h 1371600"/>
            <a:gd name="connsiteX1" fmla="*/ 161925 w 3267075"/>
            <a:gd name="connsiteY1" fmla="*/ 0 h 1371600"/>
            <a:gd name="connsiteX2" fmla="*/ 1371600 w 3267075"/>
            <a:gd name="connsiteY2" fmla="*/ 381000 h 1371600"/>
            <a:gd name="connsiteX3" fmla="*/ 2209800 w 3267075"/>
            <a:gd name="connsiteY3" fmla="*/ 628650 h 1371600"/>
            <a:gd name="connsiteX4" fmla="*/ 3267075 w 3267075"/>
            <a:gd name="connsiteY4" fmla="*/ 895350 h 1371600"/>
            <a:gd name="connsiteX5" fmla="*/ 3181350 w 3267075"/>
            <a:gd name="connsiteY5" fmla="*/ 1371600 h 1371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3267075" h="1371600">
              <a:moveTo>
                <a:pt x="0" y="200025"/>
              </a:moveTo>
              <a:lnTo>
                <a:pt x="161925" y="0"/>
              </a:lnTo>
              <a:lnTo>
                <a:pt x="1371600" y="381000"/>
              </a:lnTo>
              <a:lnTo>
                <a:pt x="2209800" y="628650"/>
              </a:lnTo>
              <a:lnTo>
                <a:pt x="3267075" y="895350"/>
              </a:lnTo>
              <a:lnTo>
                <a:pt x="3181350" y="1371600"/>
              </a:lnTo>
            </a:path>
          </a:pathLst>
        </a:custGeom>
        <a:noFill/>
        <a:ln w="19050">
          <a:solidFill>
            <a:srgbClr val="FFFF00"/>
          </a:solidFill>
          <a:prstDash val="sysDot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66675</xdr:rowOff>
    </xdr:from>
    <xdr:to>
      <xdr:col>0</xdr:col>
      <xdr:colOff>990679</xdr:colOff>
      <xdr:row>1</xdr:row>
      <xdr:rowOff>223684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66675"/>
          <a:ext cx="914479" cy="423709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923925</xdr:colOff>
      <xdr:row>16</xdr:row>
      <xdr:rowOff>80598</xdr:rowOff>
    </xdr:from>
    <xdr:to>
      <xdr:col>0</xdr:col>
      <xdr:colOff>4371544</xdr:colOff>
      <xdr:row>31</xdr:row>
      <xdr:rowOff>51670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3925" y="4347798"/>
          <a:ext cx="3447619" cy="2828572"/>
        </a:xfrm>
        <a:prstGeom prst="rect">
          <a:avLst/>
        </a:prstGeom>
      </xdr:spPr>
    </xdr:pic>
    <xdr:clientData/>
  </xdr:twoCellAnchor>
  <xdr:twoCellAnchor>
    <xdr:from>
      <xdr:col>0</xdr:col>
      <xdr:colOff>2199751</xdr:colOff>
      <xdr:row>23</xdr:row>
      <xdr:rowOff>27846</xdr:rowOff>
    </xdr:from>
    <xdr:to>
      <xdr:col>0</xdr:col>
      <xdr:colOff>2297722</xdr:colOff>
      <xdr:row>24</xdr:row>
      <xdr:rowOff>27846</xdr:rowOff>
    </xdr:to>
    <xdr:sp macro="" textlink="">
      <xdr:nvSpPr>
        <xdr:cNvPr id="3" name="Прямоугольник 2"/>
        <xdr:cNvSpPr/>
      </xdr:nvSpPr>
      <xdr:spPr>
        <a:xfrm>
          <a:off x="2199751" y="5628546"/>
          <a:ext cx="97971" cy="190500"/>
        </a:xfrm>
        <a:prstGeom prst="rect">
          <a:avLst/>
        </a:prstGeom>
        <a:solidFill>
          <a:srgbClr val="0070C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2233817</xdr:colOff>
      <xdr:row>23</xdr:row>
      <xdr:rowOff>124648</xdr:rowOff>
    </xdr:from>
    <xdr:to>
      <xdr:col>0</xdr:col>
      <xdr:colOff>2334985</xdr:colOff>
      <xdr:row>24</xdr:row>
      <xdr:rowOff>54429</xdr:rowOff>
    </xdr:to>
    <xdr:cxnSp macro="">
      <xdr:nvCxnSpPr>
        <xdr:cNvPr id="4" name="Прямая соединительная линия 3"/>
        <xdr:cNvCxnSpPr/>
      </xdr:nvCxnSpPr>
      <xdr:spPr>
        <a:xfrm flipH="1" flipV="1">
          <a:off x="2233817" y="6106348"/>
          <a:ext cx="101168" cy="120281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2220058</xdr:colOff>
      <xdr:row>20</xdr:row>
      <xdr:rowOff>161193</xdr:rowOff>
    </xdr:from>
    <xdr:to>
      <xdr:col>0</xdr:col>
      <xdr:colOff>3370385</xdr:colOff>
      <xdr:row>30</xdr:row>
      <xdr:rowOff>65943</xdr:rowOff>
    </xdr:to>
    <xdr:sp macro="" textlink="">
      <xdr:nvSpPr>
        <xdr:cNvPr id="6" name="Полилиния 5"/>
        <xdr:cNvSpPr/>
      </xdr:nvSpPr>
      <xdr:spPr>
        <a:xfrm>
          <a:off x="2220058" y="5568462"/>
          <a:ext cx="1150327" cy="1809750"/>
        </a:xfrm>
        <a:custGeom>
          <a:avLst/>
          <a:gdLst>
            <a:gd name="connsiteX0" fmla="*/ 652096 w 1150327"/>
            <a:gd name="connsiteY0" fmla="*/ 0 h 1809750"/>
            <a:gd name="connsiteX1" fmla="*/ 0 w 1150327"/>
            <a:gd name="connsiteY1" fmla="*/ 740019 h 1809750"/>
            <a:gd name="connsiteX2" fmla="*/ 1150327 w 1150327"/>
            <a:gd name="connsiteY2" fmla="*/ 1809750 h 1809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150327" h="1809750">
              <a:moveTo>
                <a:pt x="652096" y="0"/>
              </a:moveTo>
              <a:lnTo>
                <a:pt x="0" y="740019"/>
              </a:lnTo>
              <a:lnTo>
                <a:pt x="1150327" y="1809750"/>
              </a:lnTo>
            </a:path>
          </a:pathLst>
        </a:custGeom>
        <a:noFill/>
        <a:ln w="19050">
          <a:solidFill>
            <a:srgbClr val="FFFF00"/>
          </a:solidFill>
          <a:prstDash val="sysDot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609600</xdr:colOff>
      <xdr:row>19</xdr:row>
      <xdr:rowOff>66675</xdr:rowOff>
    </xdr:from>
    <xdr:to>
      <xdr:col>0</xdr:col>
      <xdr:colOff>5095315</xdr:colOff>
      <xdr:row>39</xdr:row>
      <xdr:rowOff>104294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286375"/>
          <a:ext cx="4485715" cy="3847619"/>
        </a:xfrm>
        <a:prstGeom prst="rect">
          <a:avLst/>
        </a:prstGeom>
      </xdr:spPr>
    </xdr:pic>
    <xdr:clientData/>
  </xdr:twoCellAnchor>
  <xdr:twoCellAnchor>
    <xdr:from>
      <xdr:col>0</xdr:col>
      <xdr:colOff>2562225</xdr:colOff>
      <xdr:row>20</xdr:row>
      <xdr:rowOff>9525</xdr:rowOff>
    </xdr:from>
    <xdr:to>
      <xdr:col>0</xdr:col>
      <xdr:colOff>2600325</xdr:colOff>
      <xdr:row>28</xdr:row>
      <xdr:rowOff>171450</xdr:rowOff>
    </xdr:to>
    <xdr:sp macro="" textlink="">
      <xdr:nvSpPr>
        <xdr:cNvPr id="6" name="Полилиния 5"/>
        <xdr:cNvSpPr/>
      </xdr:nvSpPr>
      <xdr:spPr>
        <a:xfrm>
          <a:off x="2562225" y="5419725"/>
          <a:ext cx="38100" cy="1685925"/>
        </a:xfrm>
        <a:custGeom>
          <a:avLst/>
          <a:gdLst>
            <a:gd name="connsiteX0" fmla="*/ 38100 w 38100"/>
            <a:gd name="connsiteY0" fmla="*/ 0 h 1685925"/>
            <a:gd name="connsiteX1" fmla="*/ 0 w 38100"/>
            <a:gd name="connsiteY1" fmla="*/ 1685925 h 16859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8100" h="1685925">
              <a:moveTo>
                <a:pt x="38100" y="0"/>
              </a:moveTo>
              <a:lnTo>
                <a:pt x="0" y="1685925"/>
              </a:lnTo>
            </a:path>
          </a:pathLst>
        </a:custGeom>
        <a:noFill/>
        <a:ln w="19050">
          <a:solidFill>
            <a:srgbClr val="FFFF00"/>
          </a:solidFill>
          <a:prstDash val="sysDot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438150</xdr:colOff>
      <xdr:row>20</xdr:row>
      <xdr:rowOff>66675</xdr:rowOff>
    </xdr:from>
    <xdr:to>
      <xdr:col>0</xdr:col>
      <xdr:colOff>2397959</xdr:colOff>
      <xdr:row>25</xdr:row>
      <xdr:rowOff>166069</xdr:rowOff>
    </xdr:to>
    <xdr:grpSp>
      <xdr:nvGrpSpPr>
        <xdr:cNvPr id="19" name="Группа 18"/>
        <xdr:cNvGrpSpPr/>
      </xdr:nvGrpSpPr>
      <xdr:grpSpPr>
        <a:xfrm rot="10800000">
          <a:off x="438150" y="5095875"/>
          <a:ext cx="1959809" cy="1051894"/>
          <a:chOff x="3902868" y="7562278"/>
          <a:chExt cx="1958612" cy="1051894"/>
        </a:xfrm>
      </xdr:grpSpPr>
      <xdr:sp macro="" textlink="">
        <xdr:nvSpPr>
          <xdr:cNvPr id="20" name="Прямоугольник 19"/>
          <xdr:cNvSpPr/>
        </xdr:nvSpPr>
        <xdr:spPr>
          <a:xfrm>
            <a:off x="3902868" y="7585472"/>
            <a:ext cx="1703935" cy="1019175"/>
          </a:xfrm>
          <a:prstGeom prst="rect">
            <a:avLst/>
          </a:prstGeom>
          <a:solidFill>
            <a:srgbClr val="0070C0"/>
          </a:solidFill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1" name="Прямая со стрелкой 20"/>
          <xdr:cNvCxnSpPr/>
        </xdr:nvCxnSpPr>
        <xdr:spPr>
          <a:xfrm flipV="1">
            <a:off x="4045744" y="7633098"/>
            <a:ext cx="0" cy="981074"/>
          </a:xfrm>
          <a:prstGeom prst="straightConnector1">
            <a:avLst/>
          </a:prstGeom>
          <a:ln w="63500">
            <a:solidFill>
              <a:schemeClr val="bg1"/>
            </a:solidFill>
            <a:tailEnd type="triangle" w="med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2" name="Полилиния 21"/>
          <xdr:cNvSpPr/>
        </xdr:nvSpPr>
        <xdr:spPr>
          <a:xfrm>
            <a:off x="4031819" y="8299433"/>
            <a:ext cx="602761" cy="248478"/>
          </a:xfrm>
          <a:custGeom>
            <a:avLst/>
            <a:gdLst>
              <a:gd name="connsiteX0" fmla="*/ 0 w 496957"/>
              <a:gd name="connsiteY0" fmla="*/ 248478 h 248478"/>
              <a:gd name="connsiteX1" fmla="*/ 306457 w 496957"/>
              <a:gd name="connsiteY1" fmla="*/ 0 h 248478"/>
              <a:gd name="connsiteX2" fmla="*/ 496957 w 496957"/>
              <a:gd name="connsiteY2" fmla="*/ 0 h 24847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496957" h="248478">
                <a:moveTo>
                  <a:pt x="0" y="248478"/>
                </a:moveTo>
                <a:lnTo>
                  <a:pt x="306457" y="0"/>
                </a:lnTo>
                <a:lnTo>
                  <a:pt x="496957" y="0"/>
                </a:lnTo>
              </a:path>
            </a:pathLst>
          </a:custGeom>
          <a:noFill/>
          <a:ln w="63500">
            <a:solidFill>
              <a:schemeClr val="bg1"/>
            </a:solidFill>
            <a:tailEnd type="triangle" w="med" len="sm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3" name="Дуга 22"/>
          <xdr:cNvSpPr/>
        </xdr:nvSpPr>
        <xdr:spPr>
          <a:xfrm>
            <a:off x="4025141" y="8067519"/>
            <a:ext cx="356152" cy="356152"/>
          </a:xfrm>
          <a:prstGeom prst="arc">
            <a:avLst>
              <a:gd name="adj1" fmla="val 15033602"/>
              <a:gd name="adj2" fmla="val 1194360"/>
            </a:avLst>
          </a:prstGeom>
          <a:noFill/>
          <a:ln w="63500">
            <a:solidFill>
              <a:schemeClr val="bg1"/>
            </a:solidFill>
            <a:headEnd type="triangle" w="med" len="sm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4" name="TextBox 23"/>
          <xdr:cNvSpPr txBox="1"/>
        </xdr:nvSpPr>
        <xdr:spPr>
          <a:xfrm>
            <a:off x="4415948" y="7562278"/>
            <a:ext cx="1008407" cy="4058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000" b="1">
                <a:solidFill>
                  <a:schemeClr val="bg1"/>
                </a:solidFill>
              </a:rPr>
              <a:t>РОСЛАВЛЬ</a:t>
            </a:r>
          </a:p>
          <a:p>
            <a:r>
              <a:rPr lang="ru-RU" sz="1000" b="1">
                <a:solidFill>
                  <a:schemeClr val="bg1"/>
                </a:solidFill>
              </a:rPr>
              <a:t>БРЯНСК</a:t>
            </a:r>
          </a:p>
        </xdr:txBody>
      </xdr:sp>
      <xdr:sp macro="" textlink="">
        <xdr:nvSpPr>
          <xdr:cNvPr id="25" name="TextBox 24"/>
          <xdr:cNvSpPr txBox="1"/>
        </xdr:nvSpPr>
        <xdr:spPr>
          <a:xfrm>
            <a:off x="4645187" y="7933987"/>
            <a:ext cx="1008590" cy="2650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000" b="1">
                <a:solidFill>
                  <a:schemeClr val="bg1"/>
                </a:solidFill>
              </a:rPr>
              <a:t>КАРДЫМОВО</a:t>
            </a:r>
          </a:p>
        </xdr:txBody>
      </xdr:sp>
      <xdr:sp macro="" textlink="">
        <xdr:nvSpPr>
          <xdr:cNvPr id="26" name="TextBox 25"/>
          <xdr:cNvSpPr txBox="1"/>
        </xdr:nvSpPr>
        <xdr:spPr>
          <a:xfrm>
            <a:off x="4855920" y="8158627"/>
            <a:ext cx="1005560" cy="26504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000" b="1">
                <a:solidFill>
                  <a:schemeClr val="bg1"/>
                </a:solidFill>
              </a:rPr>
              <a:t>СМОЛЕНСК</a:t>
            </a:r>
          </a:p>
        </xdr:txBody>
      </xdr:sp>
      <xdr:sp macro="" textlink="">
        <xdr:nvSpPr>
          <xdr:cNvPr id="27" name="Скругленный прямоугольник 26"/>
          <xdr:cNvSpPr/>
        </xdr:nvSpPr>
        <xdr:spPr>
          <a:xfrm>
            <a:off x="4188490" y="7624907"/>
            <a:ext cx="281002" cy="134339"/>
          </a:xfrm>
          <a:prstGeom prst="roundRect">
            <a:avLst/>
          </a:prstGeom>
          <a:noFill/>
          <a:ln w="19050">
            <a:solidFill>
              <a:schemeClr val="bg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ru-RU" sz="800" b="1"/>
              <a:t>А141</a:t>
            </a:r>
          </a:p>
        </xdr:txBody>
      </xdr:sp>
      <xdr:sp macro="" textlink="">
        <xdr:nvSpPr>
          <xdr:cNvPr id="28" name="Скругленный прямоугольник 27"/>
          <xdr:cNvSpPr/>
        </xdr:nvSpPr>
        <xdr:spPr>
          <a:xfrm>
            <a:off x="4406868" y="7991968"/>
            <a:ext cx="282163" cy="134339"/>
          </a:xfrm>
          <a:prstGeom prst="roundRect">
            <a:avLst/>
          </a:prstGeom>
          <a:noFill/>
          <a:ln w="19050">
            <a:solidFill>
              <a:schemeClr val="bg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ru-RU" sz="800" b="1"/>
              <a:t>Р134</a:t>
            </a:r>
          </a:p>
        </xdr:txBody>
      </xdr:sp>
      <xdr:sp macro="" textlink="">
        <xdr:nvSpPr>
          <xdr:cNvPr id="29" name="Скругленный прямоугольник 28"/>
          <xdr:cNvSpPr/>
        </xdr:nvSpPr>
        <xdr:spPr>
          <a:xfrm>
            <a:off x="4649643" y="8214993"/>
            <a:ext cx="281002" cy="134339"/>
          </a:xfrm>
          <a:prstGeom prst="roundRect">
            <a:avLst/>
          </a:prstGeom>
          <a:noFill/>
          <a:ln w="19050">
            <a:solidFill>
              <a:schemeClr val="bg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ru-RU" sz="800" b="1"/>
              <a:t>Р134</a:t>
            </a:r>
          </a:p>
        </xdr:txBody>
      </xdr:sp>
      <xdr:sp macro="" textlink="">
        <xdr:nvSpPr>
          <xdr:cNvPr id="30" name="Скругленный прямоугольник 29"/>
          <xdr:cNvSpPr/>
        </xdr:nvSpPr>
        <xdr:spPr>
          <a:xfrm>
            <a:off x="4661143" y="8451956"/>
            <a:ext cx="367061" cy="134339"/>
          </a:xfrm>
          <a:prstGeom prst="roundRect">
            <a:avLst/>
          </a:prstGeom>
          <a:noFill/>
          <a:ln w="19050">
            <a:noFill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ru-RU" sz="800" b="1"/>
              <a:t>300 м</a:t>
            </a:r>
          </a:p>
        </xdr:txBody>
      </xdr:sp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16</xdr:row>
      <xdr:rowOff>76200</xdr:rowOff>
    </xdr:from>
    <xdr:to>
      <xdr:col>0</xdr:col>
      <xdr:colOff>5895269</xdr:colOff>
      <xdr:row>41</xdr:row>
      <xdr:rowOff>27986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4343400"/>
          <a:ext cx="5647619" cy="4714286"/>
        </a:xfrm>
        <a:prstGeom prst="rect">
          <a:avLst/>
        </a:prstGeom>
      </xdr:spPr>
    </xdr:pic>
    <xdr:clientData/>
  </xdr:twoCellAnchor>
  <xdr:twoCellAnchor>
    <xdr:from>
      <xdr:col>0</xdr:col>
      <xdr:colOff>3152251</xdr:colOff>
      <xdr:row>35</xdr:row>
      <xdr:rowOff>189771</xdr:rowOff>
    </xdr:from>
    <xdr:to>
      <xdr:col>0</xdr:col>
      <xdr:colOff>3250222</xdr:colOff>
      <xdr:row>36</xdr:row>
      <xdr:rowOff>189771</xdr:rowOff>
    </xdr:to>
    <xdr:sp macro="" textlink="">
      <xdr:nvSpPr>
        <xdr:cNvPr id="3" name="Прямоугольник 2"/>
        <xdr:cNvSpPr/>
      </xdr:nvSpPr>
      <xdr:spPr>
        <a:xfrm>
          <a:off x="3152251" y="8076471"/>
          <a:ext cx="97971" cy="190500"/>
        </a:xfrm>
        <a:prstGeom prst="rect">
          <a:avLst/>
        </a:prstGeom>
        <a:solidFill>
          <a:srgbClr val="0070C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3153660</xdr:colOff>
      <xdr:row>36</xdr:row>
      <xdr:rowOff>183907</xdr:rowOff>
    </xdr:from>
    <xdr:to>
      <xdr:col>0</xdr:col>
      <xdr:colOff>3275134</xdr:colOff>
      <xdr:row>37</xdr:row>
      <xdr:rowOff>85187</xdr:rowOff>
    </xdr:to>
    <xdr:cxnSp macro="">
      <xdr:nvCxnSpPr>
        <xdr:cNvPr id="4" name="Прямая соединительная линия 3"/>
        <xdr:cNvCxnSpPr/>
      </xdr:nvCxnSpPr>
      <xdr:spPr>
        <a:xfrm flipH="1">
          <a:off x="3153660" y="8261107"/>
          <a:ext cx="121474" cy="91780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2447925</xdr:colOff>
      <xdr:row>33</xdr:row>
      <xdr:rowOff>19050</xdr:rowOff>
    </xdr:from>
    <xdr:to>
      <xdr:col>0</xdr:col>
      <xdr:colOff>3724275</xdr:colOff>
      <xdr:row>39</xdr:row>
      <xdr:rowOff>85725</xdr:rowOff>
    </xdr:to>
    <xdr:sp macro="" textlink="">
      <xdr:nvSpPr>
        <xdr:cNvPr id="7" name="Полилиния 6"/>
        <xdr:cNvSpPr/>
      </xdr:nvSpPr>
      <xdr:spPr>
        <a:xfrm>
          <a:off x="2447925" y="7524750"/>
          <a:ext cx="1276350" cy="1209675"/>
        </a:xfrm>
        <a:custGeom>
          <a:avLst/>
          <a:gdLst>
            <a:gd name="connsiteX0" fmla="*/ 1276350 w 1276350"/>
            <a:gd name="connsiteY0" fmla="*/ 1209675 h 1209675"/>
            <a:gd name="connsiteX1" fmla="*/ 781050 w 1276350"/>
            <a:gd name="connsiteY1" fmla="*/ 800100 h 1209675"/>
            <a:gd name="connsiteX2" fmla="*/ 114300 w 1276350"/>
            <a:gd name="connsiteY2" fmla="*/ 9525 h 1209675"/>
            <a:gd name="connsiteX3" fmla="*/ 0 w 1276350"/>
            <a:gd name="connsiteY3" fmla="*/ 0 h 1209675"/>
            <a:gd name="connsiteX4" fmla="*/ 0 w 1276350"/>
            <a:gd name="connsiteY4" fmla="*/ 809625 h 12096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76350" h="1209675">
              <a:moveTo>
                <a:pt x="1276350" y="1209675"/>
              </a:moveTo>
              <a:lnTo>
                <a:pt x="781050" y="800100"/>
              </a:lnTo>
              <a:lnTo>
                <a:pt x="114300" y="9525"/>
              </a:lnTo>
              <a:lnTo>
                <a:pt x="0" y="0"/>
              </a:lnTo>
              <a:lnTo>
                <a:pt x="0" y="809625"/>
              </a:lnTo>
            </a:path>
          </a:pathLst>
        </a:custGeom>
        <a:noFill/>
        <a:ln w="19050">
          <a:solidFill>
            <a:srgbClr val="FFFF00"/>
          </a:solidFill>
          <a:prstDash val="sysDot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66675</xdr:rowOff>
    </xdr:from>
    <xdr:to>
      <xdr:col>0</xdr:col>
      <xdr:colOff>990679</xdr:colOff>
      <xdr:row>1</xdr:row>
      <xdr:rowOff>223684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66675"/>
          <a:ext cx="914479" cy="42370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348812</xdr:colOff>
      <xdr:row>12</xdr:row>
      <xdr:rowOff>135355</xdr:rowOff>
    </xdr:from>
    <xdr:to>
      <xdr:col>9</xdr:col>
      <xdr:colOff>333375</xdr:colOff>
      <xdr:row>12</xdr:row>
      <xdr:rowOff>135355</xdr:rowOff>
    </xdr:to>
    <xdr:cxnSp macro="">
      <xdr:nvCxnSpPr>
        <xdr:cNvPr id="4" name="Прямая со стрелкой 3"/>
        <xdr:cNvCxnSpPr/>
      </xdr:nvCxnSpPr>
      <xdr:spPr>
        <a:xfrm>
          <a:off x="2415737" y="3126205"/>
          <a:ext cx="1746688" cy="0"/>
        </a:xfrm>
        <a:prstGeom prst="straightConnector1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9525</xdr:colOff>
      <xdr:row>6</xdr:row>
      <xdr:rowOff>124239</xdr:rowOff>
    </xdr:from>
    <xdr:to>
      <xdr:col>15</xdr:col>
      <xdr:colOff>165652</xdr:colOff>
      <xdr:row>8</xdr:row>
      <xdr:rowOff>8282</xdr:rowOff>
    </xdr:to>
    <xdr:sp macro="" textlink="">
      <xdr:nvSpPr>
        <xdr:cNvPr id="9" name="Полилиния 8"/>
        <xdr:cNvSpPr/>
      </xdr:nvSpPr>
      <xdr:spPr>
        <a:xfrm>
          <a:off x="2444612" y="1507435"/>
          <a:ext cx="3717649" cy="414130"/>
        </a:xfrm>
        <a:custGeom>
          <a:avLst/>
          <a:gdLst>
            <a:gd name="connsiteX0" fmla="*/ 0 w 2476500"/>
            <a:gd name="connsiteY0" fmla="*/ 0 h 687456"/>
            <a:gd name="connsiteX1" fmla="*/ 2476500 w 2476500"/>
            <a:gd name="connsiteY1" fmla="*/ 0 h 687456"/>
            <a:gd name="connsiteX2" fmla="*/ 2476500 w 2476500"/>
            <a:gd name="connsiteY2" fmla="*/ 687456 h 68745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476500" h="687456">
              <a:moveTo>
                <a:pt x="0" y="0"/>
              </a:moveTo>
              <a:lnTo>
                <a:pt x="2476500" y="0"/>
              </a:lnTo>
              <a:lnTo>
                <a:pt x="2476500" y="687456"/>
              </a:ln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16566</xdr:colOff>
      <xdr:row>9</xdr:row>
      <xdr:rowOff>8283</xdr:rowOff>
    </xdr:from>
    <xdr:to>
      <xdr:col>15</xdr:col>
      <xdr:colOff>163285</xdr:colOff>
      <xdr:row>10</xdr:row>
      <xdr:rowOff>130629</xdr:rowOff>
    </xdr:to>
    <xdr:sp macro="" textlink="">
      <xdr:nvSpPr>
        <xdr:cNvPr id="10" name="Полилиния 9"/>
        <xdr:cNvSpPr/>
      </xdr:nvSpPr>
      <xdr:spPr>
        <a:xfrm>
          <a:off x="2451653" y="2186609"/>
          <a:ext cx="3708241" cy="387390"/>
        </a:xfrm>
        <a:custGeom>
          <a:avLst/>
          <a:gdLst>
            <a:gd name="connsiteX0" fmla="*/ 3967369 w 3967369"/>
            <a:gd name="connsiteY0" fmla="*/ 0 h 588065"/>
            <a:gd name="connsiteX1" fmla="*/ 3967369 w 3967369"/>
            <a:gd name="connsiteY1" fmla="*/ 588065 h 588065"/>
            <a:gd name="connsiteX2" fmla="*/ 0 w 3967369"/>
            <a:gd name="connsiteY2" fmla="*/ 588065 h 58806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967369" h="588065">
              <a:moveTo>
                <a:pt x="3967369" y="0"/>
              </a:moveTo>
              <a:lnTo>
                <a:pt x="3967369" y="588065"/>
              </a:lnTo>
              <a:lnTo>
                <a:pt x="0" y="588065"/>
              </a:ln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1243</xdr:colOff>
      <xdr:row>16</xdr:row>
      <xdr:rowOff>13138</xdr:rowOff>
    </xdr:from>
    <xdr:to>
      <xdr:col>15</xdr:col>
      <xdr:colOff>165653</xdr:colOff>
      <xdr:row>16</xdr:row>
      <xdr:rowOff>143704</xdr:rowOff>
    </xdr:to>
    <xdr:sp macro="" textlink="">
      <xdr:nvSpPr>
        <xdr:cNvPr id="12" name="Полилиния 11"/>
        <xdr:cNvSpPr/>
      </xdr:nvSpPr>
      <xdr:spPr>
        <a:xfrm>
          <a:off x="2425191" y="4650828"/>
          <a:ext cx="3711652" cy="130566"/>
        </a:xfrm>
        <a:custGeom>
          <a:avLst/>
          <a:gdLst>
            <a:gd name="connsiteX0" fmla="*/ 3983935 w 3983935"/>
            <a:gd name="connsiteY0" fmla="*/ 0 h 571500"/>
            <a:gd name="connsiteX1" fmla="*/ 3983935 w 3983935"/>
            <a:gd name="connsiteY1" fmla="*/ 571500 h 571500"/>
            <a:gd name="connsiteX2" fmla="*/ 0 w 3983935"/>
            <a:gd name="connsiteY2" fmla="*/ 571500 h 571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983935" h="571500">
              <a:moveTo>
                <a:pt x="3983935" y="0"/>
              </a:moveTo>
              <a:lnTo>
                <a:pt x="3983935" y="571500"/>
              </a:lnTo>
              <a:lnTo>
                <a:pt x="0" y="571500"/>
              </a:ln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0</xdr:colOff>
      <xdr:row>11</xdr:row>
      <xdr:rowOff>39413</xdr:rowOff>
    </xdr:from>
    <xdr:to>
      <xdr:col>15</xdr:col>
      <xdr:colOff>164224</xdr:colOff>
      <xdr:row>12</xdr:row>
      <xdr:rowOff>72259</xdr:rowOff>
    </xdr:to>
    <xdr:sp macro="" textlink="">
      <xdr:nvSpPr>
        <xdr:cNvPr id="22" name="Полилиния 21"/>
        <xdr:cNvSpPr/>
      </xdr:nvSpPr>
      <xdr:spPr>
        <a:xfrm>
          <a:off x="2502776" y="2791810"/>
          <a:ext cx="3974224" cy="302173"/>
        </a:xfrm>
        <a:custGeom>
          <a:avLst/>
          <a:gdLst>
            <a:gd name="connsiteX0" fmla="*/ 0 w 3974224"/>
            <a:gd name="connsiteY0" fmla="*/ 302173 h 302173"/>
            <a:gd name="connsiteX1" fmla="*/ 394138 w 3974224"/>
            <a:gd name="connsiteY1" fmla="*/ 302173 h 302173"/>
            <a:gd name="connsiteX2" fmla="*/ 394138 w 3974224"/>
            <a:gd name="connsiteY2" fmla="*/ 0 h 302173"/>
            <a:gd name="connsiteX3" fmla="*/ 3974224 w 3974224"/>
            <a:gd name="connsiteY3" fmla="*/ 0 h 302173"/>
            <a:gd name="connsiteX4" fmla="*/ 3974224 w 3974224"/>
            <a:gd name="connsiteY4" fmla="*/ 229914 h 30217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3974224" h="302173">
              <a:moveTo>
                <a:pt x="0" y="302173"/>
              </a:moveTo>
              <a:lnTo>
                <a:pt x="394138" y="302173"/>
              </a:lnTo>
              <a:lnTo>
                <a:pt x="394138" y="0"/>
              </a:lnTo>
              <a:lnTo>
                <a:pt x="3974224" y="0"/>
              </a:lnTo>
              <a:lnTo>
                <a:pt x="3974224" y="229914"/>
              </a:ln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372718</xdr:colOff>
      <xdr:row>19</xdr:row>
      <xdr:rowOff>1</xdr:rowOff>
    </xdr:from>
    <xdr:to>
      <xdr:col>15</xdr:col>
      <xdr:colOff>165653</xdr:colOff>
      <xdr:row>20</xdr:row>
      <xdr:rowOff>123825</xdr:rowOff>
    </xdr:to>
    <xdr:sp macro="" textlink="">
      <xdr:nvSpPr>
        <xdr:cNvPr id="28" name="Полилиния 27"/>
        <xdr:cNvSpPr/>
      </xdr:nvSpPr>
      <xdr:spPr>
        <a:xfrm>
          <a:off x="2496793" y="4324351"/>
          <a:ext cx="3983935" cy="390524"/>
        </a:xfrm>
        <a:custGeom>
          <a:avLst/>
          <a:gdLst>
            <a:gd name="connsiteX0" fmla="*/ 3983935 w 3983935"/>
            <a:gd name="connsiteY0" fmla="*/ 0 h 571500"/>
            <a:gd name="connsiteX1" fmla="*/ 3983935 w 3983935"/>
            <a:gd name="connsiteY1" fmla="*/ 571500 h 571500"/>
            <a:gd name="connsiteX2" fmla="*/ 0 w 3983935"/>
            <a:gd name="connsiteY2" fmla="*/ 571500 h 571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983935" h="571500">
              <a:moveTo>
                <a:pt x="3983935" y="0"/>
              </a:moveTo>
              <a:lnTo>
                <a:pt x="3983935" y="571500"/>
              </a:lnTo>
              <a:lnTo>
                <a:pt x="0" y="571500"/>
              </a:ln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0</xdr:colOff>
      <xdr:row>17</xdr:row>
      <xdr:rowOff>39414</xdr:rowOff>
    </xdr:from>
    <xdr:to>
      <xdr:col>15</xdr:col>
      <xdr:colOff>164224</xdr:colOff>
      <xdr:row>18</xdr:row>
      <xdr:rowOff>72260</xdr:rowOff>
    </xdr:to>
    <xdr:sp macro="" textlink="">
      <xdr:nvSpPr>
        <xdr:cNvPr id="29" name="Полилиния 28"/>
        <xdr:cNvSpPr/>
      </xdr:nvSpPr>
      <xdr:spPr>
        <a:xfrm>
          <a:off x="2435087" y="4338088"/>
          <a:ext cx="3725746" cy="297889"/>
        </a:xfrm>
        <a:custGeom>
          <a:avLst/>
          <a:gdLst>
            <a:gd name="connsiteX0" fmla="*/ 0 w 3974224"/>
            <a:gd name="connsiteY0" fmla="*/ 302173 h 302173"/>
            <a:gd name="connsiteX1" fmla="*/ 394138 w 3974224"/>
            <a:gd name="connsiteY1" fmla="*/ 302173 h 302173"/>
            <a:gd name="connsiteX2" fmla="*/ 394138 w 3974224"/>
            <a:gd name="connsiteY2" fmla="*/ 0 h 302173"/>
            <a:gd name="connsiteX3" fmla="*/ 3974224 w 3974224"/>
            <a:gd name="connsiteY3" fmla="*/ 0 h 302173"/>
            <a:gd name="connsiteX4" fmla="*/ 3974224 w 3974224"/>
            <a:gd name="connsiteY4" fmla="*/ 229914 h 30217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3974224" h="302173">
              <a:moveTo>
                <a:pt x="0" y="302173"/>
              </a:moveTo>
              <a:lnTo>
                <a:pt x="394138" y="302173"/>
              </a:lnTo>
              <a:lnTo>
                <a:pt x="394138" y="0"/>
              </a:lnTo>
              <a:lnTo>
                <a:pt x="3974224" y="0"/>
              </a:lnTo>
              <a:lnTo>
                <a:pt x="3974224" y="229914"/>
              </a:ln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123825</xdr:colOff>
      <xdr:row>0</xdr:row>
      <xdr:rowOff>85725</xdr:rowOff>
    </xdr:from>
    <xdr:to>
      <xdr:col>0</xdr:col>
      <xdr:colOff>1038304</xdr:colOff>
      <xdr:row>1</xdr:row>
      <xdr:rowOff>242734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5725"/>
          <a:ext cx="914479" cy="423709"/>
        </a:xfrm>
        <a:prstGeom prst="rect">
          <a:avLst/>
        </a:prstGeom>
      </xdr:spPr>
    </xdr:pic>
    <xdr:clientData/>
  </xdr:twoCellAnchor>
  <xdr:twoCellAnchor>
    <xdr:from>
      <xdr:col>4</xdr:col>
      <xdr:colOff>348812</xdr:colOff>
      <xdr:row>18</xdr:row>
      <xdr:rowOff>135355</xdr:rowOff>
    </xdr:from>
    <xdr:to>
      <xdr:col>9</xdr:col>
      <xdr:colOff>333375</xdr:colOff>
      <xdr:row>18</xdr:row>
      <xdr:rowOff>135355</xdr:rowOff>
    </xdr:to>
    <xdr:cxnSp macro="">
      <xdr:nvCxnSpPr>
        <xdr:cNvPr id="14" name="Прямая со стрелкой 13"/>
        <xdr:cNvCxnSpPr/>
      </xdr:nvCxnSpPr>
      <xdr:spPr>
        <a:xfrm>
          <a:off x="2415737" y="4193005"/>
          <a:ext cx="1746688" cy="0"/>
        </a:xfrm>
        <a:prstGeom prst="straightConnector1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348812</xdr:colOff>
      <xdr:row>8</xdr:row>
      <xdr:rowOff>135355</xdr:rowOff>
    </xdr:from>
    <xdr:to>
      <xdr:col>9</xdr:col>
      <xdr:colOff>333375</xdr:colOff>
      <xdr:row>8</xdr:row>
      <xdr:rowOff>135355</xdr:rowOff>
    </xdr:to>
    <xdr:cxnSp macro="">
      <xdr:nvCxnSpPr>
        <xdr:cNvPr id="15" name="Прямая со стрелкой 14"/>
        <xdr:cNvCxnSpPr/>
      </xdr:nvCxnSpPr>
      <xdr:spPr>
        <a:xfrm>
          <a:off x="2415737" y="2592805"/>
          <a:ext cx="1746688" cy="0"/>
        </a:xfrm>
        <a:prstGeom prst="straightConnector1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9526</xdr:colOff>
      <xdr:row>14</xdr:row>
      <xdr:rowOff>152814</xdr:rowOff>
    </xdr:from>
    <xdr:to>
      <xdr:col>15</xdr:col>
      <xdr:colOff>163286</xdr:colOff>
      <xdr:row>14</xdr:row>
      <xdr:rowOff>266700</xdr:rowOff>
    </xdr:to>
    <xdr:sp macro="" textlink="">
      <xdr:nvSpPr>
        <xdr:cNvPr id="16" name="Полилиния 15"/>
        <xdr:cNvSpPr/>
      </xdr:nvSpPr>
      <xdr:spPr>
        <a:xfrm>
          <a:off x="2431597" y="4213185"/>
          <a:ext cx="3691618" cy="113886"/>
        </a:xfrm>
        <a:custGeom>
          <a:avLst/>
          <a:gdLst>
            <a:gd name="connsiteX0" fmla="*/ 0 w 2476500"/>
            <a:gd name="connsiteY0" fmla="*/ 0 h 687456"/>
            <a:gd name="connsiteX1" fmla="*/ 2476500 w 2476500"/>
            <a:gd name="connsiteY1" fmla="*/ 0 h 687456"/>
            <a:gd name="connsiteX2" fmla="*/ 2476500 w 2476500"/>
            <a:gd name="connsiteY2" fmla="*/ 687456 h 68745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476500" h="687456">
              <a:moveTo>
                <a:pt x="0" y="0"/>
              </a:moveTo>
              <a:lnTo>
                <a:pt x="2476500" y="0"/>
              </a:lnTo>
              <a:lnTo>
                <a:pt x="2476500" y="687456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1243</xdr:colOff>
      <xdr:row>12</xdr:row>
      <xdr:rowOff>266700</xdr:rowOff>
    </xdr:from>
    <xdr:to>
      <xdr:col>15</xdr:col>
      <xdr:colOff>165653</xdr:colOff>
      <xdr:row>14</xdr:row>
      <xdr:rowOff>96079</xdr:rowOff>
    </xdr:to>
    <xdr:sp macro="" textlink="">
      <xdr:nvSpPr>
        <xdr:cNvPr id="17" name="Полилиния 16"/>
        <xdr:cNvSpPr/>
      </xdr:nvSpPr>
      <xdr:spPr>
        <a:xfrm>
          <a:off x="2423314" y="3793671"/>
          <a:ext cx="3702268" cy="362779"/>
        </a:xfrm>
        <a:custGeom>
          <a:avLst/>
          <a:gdLst>
            <a:gd name="connsiteX0" fmla="*/ 3983935 w 3983935"/>
            <a:gd name="connsiteY0" fmla="*/ 0 h 571500"/>
            <a:gd name="connsiteX1" fmla="*/ 3983935 w 3983935"/>
            <a:gd name="connsiteY1" fmla="*/ 571500 h 571500"/>
            <a:gd name="connsiteX2" fmla="*/ 0 w 3983935"/>
            <a:gd name="connsiteY2" fmla="*/ 571500 h 571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983935" h="571500">
              <a:moveTo>
                <a:pt x="3983935" y="0"/>
              </a:moveTo>
              <a:lnTo>
                <a:pt x="3983935" y="571500"/>
              </a:lnTo>
              <a:lnTo>
                <a:pt x="0" y="571500"/>
              </a:ln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300281</xdr:colOff>
      <xdr:row>13</xdr:row>
      <xdr:rowOff>173182</xdr:rowOff>
    </xdr:from>
    <xdr:to>
      <xdr:col>9</xdr:col>
      <xdr:colOff>278372</xdr:colOff>
      <xdr:row>27</xdr:row>
      <xdr:rowOff>30307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281" y="2961409"/>
          <a:ext cx="5433318" cy="2524125"/>
        </a:xfrm>
        <a:prstGeom prst="rect">
          <a:avLst/>
        </a:prstGeom>
      </xdr:spPr>
    </xdr:pic>
    <xdr:clientData/>
  </xdr:twoCellAnchor>
  <xdr:twoCellAnchor editAs="oneCell">
    <xdr:from>
      <xdr:col>0</xdr:col>
      <xdr:colOff>277090</xdr:colOff>
      <xdr:row>34</xdr:row>
      <xdr:rowOff>36746</xdr:rowOff>
    </xdr:from>
    <xdr:to>
      <xdr:col>9</xdr:col>
      <xdr:colOff>109227</xdr:colOff>
      <xdr:row>48</xdr:row>
      <xdr:rowOff>144419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090" y="6825473"/>
          <a:ext cx="5287364" cy="27746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416483</xdr:colOff>
      <xdr:row>13</xdr:row>
      <xdr:rowOff>24023</xdr:rowOff>
    </xdr:from>
    <xdr:to>
      <xdr:col>1</xdr:col>
      <xdr:colOff>238648</xdr:colOff>
      <xdr:row>13</xdr:row>
      <xdr:rowOff>358889</xdr:rowOff>
    </xdr:to>
    <xdr:sp macro="" textlink="">
      <xdr:nvSpPr>
        <xdr:cNvPr id="4" name="Прямоугольник 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SpPr/>
      </xdr:nvSpPr>
      <xdr:spPr>
        <a:xfrm>
          <a:off x="416483" y="23341223"/>
          <a:ext cx="431765" cy="334866"/>
        </a:xfrm>
        <a:prstGeom prst="rect">
          <a:avLst/>
        </a:prstGeom>
        <a:solidFill>
          <a:schemeClr val="bg1">
            <a:lumMod val="85000"/>
          </a:schemeClr>
        </a:solidFill>
        <a:ln w="0"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600" b="1">
              <a:solidFill>
                <a:sysClr val="windowText" lastClr="000000"/>
              </a:solidFill>
            </a:rPr>
            <a:t>P</a:t>
          </a:r>
          <a:endParaRPr lang="ru-RU" sz="16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46177</xdr:colOff>
      <xdr:row>8</xdr:row>
      <xdr:rowOff>190959</xdr:rowOff>
    </xdr:from>
    <xdr:to>
      <xdr:col>1</xdr:col>
      <xdr:colOff>554357</xdr:colOff>
      <xdr:row>8</xdr:row>
      <xdr:rowOff>190959</xdr:rowOff>
    </xdr:to>
    <xdr:cxnSp macro="">
      <xdr:nvCxnSpPr>
        <xdr:cNvPr id="5" name="Прямая со стрелкой 4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CxnSpPr/>
      </xdr:nvCxnSpPr>
      <xdr:spPr>
        <a:xfrm>
          <a:off x="655777" y="22365159"/>
          <a:ext cx="508180" cy="0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36652</xdr:colOff>
      <xdr:row>9</xdr:row>
      <xdr:rowOff>171909</xdr:rowOff>
    </xdr:from>
    <xdr:to>
      <xdr:col>1</xdr:col>
      <xdr:colOff>552676</xdr:colOff>
      <xdr:row>9</xdr:row>
      <xdr:rowOff>171909</xdr:rowOff>
    </xdr:to>
    <xdr:cxnSp macro="">
      <xdr:nvCxnSpPr>
        <xdr:cNvPr id="6" name="Прямая со стрелкой 5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CxnSpPr/>
      </xdr:nvCxnSpPr>
      <xdr:spPr>
        <a:xfrm>
          <a:off x="646252" y="22727109"/>
          <a:ext cx="516024" cy="0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242785</xdr:colOff>
      <xdr:row>6</xdr:row>
      <xdr:rowOff>180975</xdr:rowOff>
    </xdr:from>
    <xdr:to>
      <xdr:col>1</xdr:col>
      <xdr:colOff>314785</xdr:colOff>
      <xdr:row>6</xdr:row>
      <xdr:rowOff>252975</xdr:rowOff>
    </xdr:to>
    <xdr:sp macro="" textlink="">
      <xdr:nvSpPr>
        <xdr:cNvPr id="7" name="Овал 6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SpPr/>
      </xdr:nvSpPr>
      <xdr:spPr>
        <a:xfrm>
          <a:off x="852385" y="21593175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291652</xdr:colOff>
      <xdr:row>7</xdr:row>
      <xdr:rowOff>66675</xdr:rowOff>
    </xdr:from>
    <xdr:to>
      <xdr:col>1</xdr:col>
      <xdr:colOff>291652</xdr:colOff>
      <xdr:row>7</xdr:row>
      <xdr:rowOff>333375</xdr:rowOff>
    </xdr:to>
    <xdr:cxnSp macro="">
      <xdr:nvCxnSpPr>
        <xdr:cNvPr id="8" name="Прямая со стрелкой 7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CxnSpPr/>
      </xdr:nvCxnSpPr>
      <xdr:spPr>
        <a:xfrm flipV="1">
          <a:off x="901252" y="21859875"/>
          <a:ext cx="0" cy="266700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83253</xdr:colOff>
      <xdr:row>14</xdr:row>
      <xdr:rowOff>104808</xdr:rowOff>
    </xdr:from>
    <xdr:to>
      <xdr:col>1</xdr:col>
      <xdr:colOff>473164</xdr:colOff>
      <xdr:row>14</xdr:row>
      <xdr:rowOff>274860</xdr:rowOff>
    </xdr:to>
    <xdr:grpSp>
      <xdr:nvGrpSpPr>
        <xdr:cNvPr id="9" name="Группа 8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GrpSpPr/>
      </xdr:nvGrpSpPr>
      <xdr:grpSpPr>
        <a:xfrm>
          <a:off x="692853" y="4181508"/>
          <a:ext cx="389911" cy="170052"/>
          <a:chOff x="3482046" y="27087347"/>
          <a:chExt cx="386893" cy="170052"/>
        </a:xfrm>
      </xdr:grpSpPr>
      <xdr:cxnSp macro="">
        <xdr:nvCxnSpPr>
          <xdr:cNvPr id="10" name="Прямая соединительная линия 9">
            <a:extLst>
              <a:ext uri="{FF2B5EF4-FFF2-40B4-BE49-F238E27FC236}">
                <a16:creationId xmlns:a16="http://schemas.microsoft.com/office/drawing/2014/main" xmlns="" id="{00000000-0008-0000-0600-00000A000000}"/>
              </a:ext>
            </a:extLst>
          </xdr:cNvPr>
          <xdr:cNvCxnSpPr/>
        </xdr:nvCxnSpPr>
        <xdr:spPr>
          <a:xfrm>
            <a:off x="3538608" y="27145344"/>
            <a:ext cx="273843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Прямая соединительная линия 10">
            <a:extLst>
              <a:ext uri="{FF2B5EF4-FFF2-40B4-BE49-F238E27FC236}">
                <a16:creationId xmlns:a16="http://schemas.microsoft.com/office/drawing/2014/main" xmlns="" id="{00000000-0008-0000-0600-00000B000000}"/>
              </a:ext>
            </a:extLst>
          </xdr:cNvPr>
          <xdr:cNvCxnSpPr/>
        </xdr:nvCxnSpPr>
        <xdr:spPr>
          <a:xfrm>
            <a:off x="3482046" y="27087347"/>
            <a:ext cx="60798" cy="6079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Прямая соединительная линия 11">
            <a:extLst>
              <a:ext uri="{FF2B5EF4-FFF2-40B4-BE49-F238E27FC236}">
                <a16:creationId xmlns:a16="http://schemas.microsoft.com/office/drawing/2014/main" xmlns="" id="{00000000-0008-0000-0600-00000C000000}"/>
              </a:ext>
            </a:extLst>
          </xdr:cNvPr>
          <xdr:cNvCxnSpPr/>
        </xdr:nvCxnSpPr>
        <xdr:spPr>
          <a:xfrm flipH="1">
            <a:off x="3808141" y="27087347"/>
            <a:ext cx="60798" cy="6079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Прямая соединительная линия 12">
            <a:extLst>
              <a:ext uri="{FF2B5EF4-FFF2-40B4-BE49-F238E27FC236}">
                <a16:creationId xmlns:a16="http://schemas.microsoft.com/office/drawing/2014/main" xmlns="" id="{00000000-0008-0000-0600-00000D000000}"/>
              </a:ext>
            </a:extLst>
          </xdr:cNvPr>
          <xdr:cNvCxnSpPr/>
        </xdr:nvCxnSpPr>
        <xdr:spPr>
          <a:xfrm flipV="1">
            <a:off x="3538608" y="27199402"/>
            <a:ext cx="273843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" name="Прямая соединительная линия 13">
            <a:extLst>
              <a:ext uri="{FF2B5EF4-FFF2-40B4-BE49-F238E27FC236}">
                <a16:creationId xmlns:a16="http://schemas.microsoft.com/office/drawing/2014/main" xmlns="" id="{00000000-0008-0000-0600-00000E000000}"/>
              </a:ext>
            </a:extLst>
          </xdr:cNvPr>
          <xdr:cNvCxnSpPr/>
        </xdr:nvCxnSpPr>
        <xdr:spPr>
          <a:xfrm flipV="1">
            <a:off x="3482046" y="27196601"/>
            <a:ext cx="60798" cy="6079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Прямая соединительная линия 14">
            <a:extLst>
              <a:ext uri="{FF2B5EF4-FFF2-40B4-BE49-F238E27FC236}">
                <a16:creationId xmlns:a16="http://schemas.microsoft.com/office/drawing/2014/main" xmlns="" id="{00000000-0008-0000-0600-00000F000000}"/>
              </a:ext>
            </a:extLst>
          </xdr:cNvPr>
          <xdr:cNvCxnSpPr/>
        </xdr:nvCxnSpPr>
        <xdr:spPr>
          <a:xfrm flipH="1" flipV="1">
            <a:off x="3808141" y="27196601"/>
            <a:ext cx="60798" cy="6079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482983</xdr:colOff>
      <xdr:row>15</xdr:row>
      <xdr:rowOff>56432</xdr:rowOff>
    </xdr:from>
    <xdr:to>
      <xdr:col>2</xdr:col>
      <xdr:colOff>126021</xdr:colOff>
      <xdr:row>15</xdr:row>
      <xdr:rowOff>245224</xdr:rowOff>
    </xdr:to>
    <xdr:grpSp>
      <xdr:nvGrpSpPr>
        <xdr:cNvPr id="16" name="Группа 15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GrpSpPr/>
      </xdr:nvGrpSpPr>
      <xdr:grpSpPr>
        <a:xfrm rot="5400000">
          <a:off x="819706" y="4177409"/>
          <a:ext cx="188792" cy="862238"/>
          <a:chOff x="2276355" y="169337185"/>
          <a:chExt cx="182327" cy="1037451"/>
        </a:xfrm>
      </xdr:grpSpPr>
      <xdr:cxnSp macro="">
        <xdr:nvCxnSpPr>
          <xdr:cNvPr id="17" name="Прямая со стрелкой 16">
            <a:extLst>
              <a:ext uri="{FF2B5EF4-FFF2-40B4-BE49-F238E27FC236}">
                <a16:creationId xmlns:a16="http://schemas.microsoft.com/office/drawing/2014/main" xmlns="" id="{00000000-0008-0000-0600-000011000000}"/>
              </a:ext>
            </a:extLst>
          </xdr:cNvPr>
          <xdr:cNvCxnSpPr/>
        </xdr:nvCxnSpPr>
        <xdr:spPr>
          <a:xfrm>
            <a:off x="2311502" y="169341511"/>
            <a:ext cx="0" cy="1033125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8" name="Прямая со стрелкой 17">
            <a:extLst>
              <a:ext uri="{FF2B5EF4-FFF2-40B4-BE49-F238E27FC236}">
                <a16:creationId xmlns:a16="http://schemas.microsoft.com/office/drawing/2014/main" xmlns="" id="{00000000-0008-0000-0600-000012000000}"/>
              </a:ext>
            </a:extLst>
          </xdr:cNvPr>
          <xdr:cNvCxnSpPr/>
        </xdr:nvCxnSpPr>
        <xdr:spPr>
          <a:xfrm>
            <a:off x="2423538" y="169337185"/>
            <a:ext cx="0" cy="1037451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9" name="Прямая со стрелкой 18">
            <a:extLst>
              <a:ext uri="{FF2B5EF4-FFF2-40B4-BE49-F238E27FC236}">
                <a16:creationId xmlns:a16="http://schemas.microsoft.com/office/drawing/2014/main" xmlns="" id="{00000000-0008-0000-0600-000013000000}"/>
              </a:ext>
            </a:extLst>
          </xdr:cNvPr>
          <xdr:cNvCxnSpPr/>
        </xdr:nvCxnSpPr>
        <xdr:spPr>
          <a:xfrm rot="5400000" flipV="1">
            <a:off x="2367519" y="169285776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0" name="Прямая со стрелкой 19">
            <a:extLst>
              <a:ext uri="{FF2B5EF4-FFF2-40B4-BE49-F238E27FC236}">
                <a16:creationId xmlns:a16="http://schemas.microsoft.com/office/drawing/2014/main" xmlns="" id="{00000000-0008-0000-0600-000014000000}"/>
              </a:ext>
            </a:extLst>
          </xdr:cNvPr>
          <xdr:cNvCxnSpPr/>
        </xdr:nvCxnSpPr>
        <xdr:spPr>
          <a:xfrm rot="5400000" flipV="1">
            <a:off x="2367519" y="169347937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1" name="Прямая со стрелкой 20">
            <a:extLst>
              <a:ext uri="{FF2B5EF4-FFF2-40B4-BE49-F238E27FC236}">
                <a16:creationId xmlns:a16="http://schemas.microsoft.com/office/drawing/2014/main" xmlns="" id="{00000000-0008-0000-0600-000015000000}"/>
              </a:ext>
            </a:extLst>
          </xdr:cNvPr>
          <xdr:cNvCxnSpPr/>
        </xdr:nvCxnSpPr>
        <xdr:spPr>
          <a:xfrm rot="5400000" flipV="1">
            <a:off x="2367519" y="169410098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2" name="Прямая со стрелкой 21">
            <a:extLst>
              <a:ext uri="{FF2B5EF4-FFF2-40B4-BE49-F238E27FC236}">
                <a16:creationId xmlns:a16="http://schemas.microsoft.com/office/drawing/2014/main" xmlns="" id="{00000000-0008-0000-0600-000016000000}"/>
              </a:ext>
            </a:extLst>
          </xdr:cNvPr>
          <xdr:cNvCxnSpPr/>
        </xdr:nvCxnSpPr>
        <xdr:spPr>
          <a:xfrm rot="5400000" flipV="1">
            <a:off x="2367519" y="169472259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3" name="Прямая со стрелкой 22">
            <a:extLst>
              <a:ext uri="{FF2B5EF4-FFF2-40B4-BE49-F238E27FC236}">
                <a16:creationId xmlns:a16="http://schemas.microsoft.com/office/drawing/2014/main" xmlns="" id="{00000000-0008-0000-0600-000017000000}"/>
              </a:ext>
            </a:extLst>
          </xdr:cNvPr>
          <xdr:cNvCxnSpPr/>
        </xdr:nvCxnSpPr>
        <xdr:spPr>
          <a:xfrm rot="5400000" flipV="1">
            <a:off x="2367519" y="169534420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4" name="Прямая со стрелкой 23">
            <a:extLst>
              <a:ext uri="{FF2B5EF4-FFF2-40B4-BE49-F238E27FC236}">
                <a16:creationId xmlns:a16="http://schemas.microsoft.com/office/drawing/2014/main" xmlns="" id="{00000000-0008-0000-0600-000018000000}"/>
              </a:ext>
            </a:extLst>
          </xdr:cNvPr>
          <xdr:cNvCxnSpPr/>
        </xdr:nvCxnSpPr>
        <xdr:spPr>
          <a:xfrm rot="5400000" flipV="1">
            <a:off x="2367519" y="169596581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5" name="Прямая со стрелкой 24">
            <a:extLst>
              <a:ext uri="{FF2B5EF4-FFF2-40B4-BE49-F238E27FC236}">
                <a16:creationId xmlns:a16="http://schemas.microsoft.com/office/drawing/2014/main" xmlns="" id="{00000000-0008-0000-0600-000019000000}"/>
              </a:ext>
            </a:extLst>
          </xdr:cNvPr>
          <xdr:cNvCxnSpPr/>
        </xdr:nvCxnSpPr>
        <xdr:spPr>
          <a:xfrm rot="5400000" flipV="1">
            <a:off x="2367519" y="169658742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6" name="Прямая со стрелкой 25">
            <a:extLst>
              <a:ext uri="{FF2B5EF4-FFF2-40B4-BE49-F238E27FC236}">
                <a16:creationId xmlns:a16="http://schemas.microsoft.com/office/drawing/2014/main" xmlns="" id="{00000000-0008-0000-0600-00001A000000}"/>
              </a:ext>
            </a:extLst>
          </xdr:cNvPr>
          <xdr:cNvCxnSpPr/>
        </xdr:nvCxnSpPr>
        <xdr:spPr>
          <a:xfrm rot="5400000" flipV="1">
            <a:off x="2367519" y="169720903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7" name="Прямая со стрелкой 26">
            <a:extLst>
              <a:ext uri="{FF2B5EF4-FFF2-40B4-BE49-F238E27FC236}">
                <a16:creationId xmlns:a16="http://schemas.microsoft.com/office/drawing/2014/main" xmlns="" id="{00000000-0008-0000-0600-00001B000000}"/>
              </a:ext>
            </a:extLst>
          </xdr:cNvPr>
          <xdr:cNvCxnSpPr/>
        </xdr:nvCxnSpPr>
        <xdr:spPr>
          <a:xfrm rot="5400000" flipV="1">
            <a:off x="2367519" y="169783064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8" name="Прямая со стрелкой 27">
            <a:extLst>
              <a:ext uri="{FF2B5EF4-FFF2-40B4-BE49-F238E27FC236}">
                <a16:creationId xmlns:a16="http://schemas.microsoft.com/office/drawing/2014/main" xmlns="" id="{00000000-0008-0000-0600-00001C000000}"/>
              </a:ext>
            </a:extLst>
          </xdr:cNvPr>
          <xdr:cNvCxnSpPr/>
        </xdr:nvCxnSpPr>
        <xdr:spPr>
          <a:xfrm rot="5400000" flipV="1">
            <a:off x="2367519" y="169845225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9" name="Прямая со стрелкой 28">
            <a:extLst>
              <a:ext uri="{FF2B5EF4-FFF2-40B4-BE49-F238E27FC236}">
                <a16:creationId xmlns:a16="http://schemas.microsoft.com/office/drawing/2014/main" xmlns="" id="{00000000-0008-0000-0600-00001D000000}"/>
              </a:ext>
            </a:extLst>
          </xdr:cNvPr>
          <xdr:cNvCxnSpPr/>
        </xdr:nvCxnSpPr>
        <xdr:spPr>
          <a:xfrm rot="5400000" flipV="1">
            <a:off x="2367519" y="169907386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0" name="Прямая со стрелкой 29">
            <a:extLst>
              <a:ext uri="{FF2B5EF4-FFF2-40B4-BE49-F238E27FC236}">
                <a16:creationId xmlns:a16="http://schemas.microsoft.com/office/drawing/2014/main" xmlns="" id="{00000000-0008-0000-0600-00001E000000}"/>
              </a:ext>
            </a:extLst>
          </xdr:cNvPr>
          <xdr:cNvCxnSpPr/>
        </xdr:nvCxnSpPr>
        <xdr:spPr>
          <a:xfrm rot="5400000" flipV="1">
            <a:off x="2367519" y="169969547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1" name="Прямая со стрелкой 30">
            <a:extLst>
              <a:ext uri="{FF2B5EF4-FFF2-40B4-BE49-F238E27FC236}">
                <a16:creationId xmlns:a16="http://schemas.microsoft.com/office/drawing/2014/main" xmlns="" id="{00000000-0008-0000-0600-00001F000000}"/>
              </a:ext>
            </a:extLst>
          </xdr:cNvPr>
          <xdr:cNvCxnSpPr/>
        </xdr:nvCxnSpPr>
        <xdr:spPr>
          <a:xfrm rot="5400000" flipV="1">
            <a:off x="2367519" y="170031708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2" name="Прямая со стрелкой 31">
            <a:extLst>
              <a:ext uri="{FF2B5EF4-FFF2-40B4-BE49-F238E27FC236}">
                <a16:creationId xmlns:a16="http://schemas.microsoft.com/office/drawing/2014/main" xmlns="" id="{00000000-0008-0000-0600-000020000000}"/>
              </a:ext>
            </a:extLst>
          </xdr:cNvPr>
          <xdr:cNvCxnSpPr/>
        </xdr:nvCxnSpPr>
        <xdr:spPr>
          <a:xfrm rot="5400000" flipV="1">
            <a:off x="2367519" y="170093869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3" name="Прямая со стрелкой 32">
            <a:extLst>
              <a:ext uri="{FF2B5EF4-FFF2-40B4-BE49-F238E27FC236}">
                <a16:creationId xmlns:a16="http://schemas.microsoft.com/office/drawing/2014/main" xmlns="" id="{00000000-0008-0000-0600-000021000000}"/>
              </a:ext>
            </a:extLst>
          </xdr:cNvPr>
          <xdr:cNvCxnSpPr/>
        </xdr:nvCxnSpPr>
        <xdr:spPr>
          <a:xfrm rot="5400000" flipV="1">
            <a:off x="2367519" y="170156030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4" name="Прямая со стрелкой 33">
            <a:extLst>
              <a:ext uri="{FF2B5EF4-FFF2-40B4-BE49-F238E27FC236}">
                <a16:creationId xmlns:a16="http://schemas.microsoft.com/office/drawing/2014/main" xmlns="" id="{00000000-0008-0000-0600-000022000000}"/>
              </a:ext>
            </a:extLst>
          </xdr:cNvPr>
          <xdr:cNvCxnSpPr/>
        </xdr:nvCxnSpPr>
        <xdr:spPr>
          <a:xfrm rot="5400000" flipV="1">
            <a:off x="2367519" y="170218192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543943</xdr:colOff>
      <xdr:row>24</xdr:row>
      <xdr:rowOff>67580</xdr:rowOff>
    </xdr:from>
    <xdr:to>
      <xdr:col>1</xdr:col>
      <xdr:colOff>183898</xdr:colOff>
      <xdr:row>24</xdr:row>
      <xdr:rowOff>321647</xdr:rowOff>
    </xdr:to>
    <xdr:sp macro="" textlink="">
      <xdr:nvSpPr>
        <xdr:cNvPr id="35" name="Овал 34">
          <a:extLst>
            <a:ext uri="{FF2B5EF4-FFF2-40B4-BE49-F238E27FC236}">
              <a16:creationId xmlns:a16="http://schemas.microsoft.com/office/drawing/2014/main" xmlns="" id="{00000000-0008-0000-0600-000023000000}"/>
            </a:ext>
          </a:extLst>
        </xdr:cNvPr>
        <xdr:cNvSpPr/>
      </xdr:nvSpPr>
      <xdr:spPr>
        <a:xfrm>
          <a:off x="543943" y="7849505"/>
          <a:ext cx="249555" cy="254067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0</xdr:col>
      <xdr:colOff>429643</xdr:colOff>
      <xdr:row>30</xdr:row>
      <xdr:rowOff>72092</xdr:rowOff>
    </xdr:from>
    <xdr:to>
      <xdr:col>1</xdr:col>
      <xdr:colOff>69598</xdr:colOff>
      <xdr:row>30</xdr:row>
      <xdr:rowOff>321647</xdr:rowOff>
    </xdr:to>
    <xdr:sp macro="" textlink="">
      <xdr:nvSpPr>
        <xdr:cNvPr id="36" name="Овал 35">
          <a:extLst>
            <a:ext uri="{FF2B5EF4-FFF2-40B4-BE49-F238E27FC236}">
              <a16:creationId xmlns:a16="http://schemas.microsoft.com/office/drawing/2014/main" xmlns="" id="{00000000-0008-0000-0600-000024000000}"/>
            </a:ext>
          </a:extLst>
        </xdr:cNvPr>
        <xdr:cNvSpPr/>
      </xdr:nvSpPr>
      <xdr:spPr>
        <a:xfrm>
          <a:off x="429643" y="10140017"/>
          <a:ext cx="249555" cy="249555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1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216283</xdr:colOff>
      <xdr:row>30</xdr:row>
      <xdr:rowOff>72092</xdr:rowOff>
    </xdr:from>
    <xdr:to>
      <xdr:col>1</xdr:col>
      <xdr:colOff>468856</xdr:colOff>
      <xdr:row>30</xdr:row>
      <xdr:rowOff>321647</xdr:rowOff>
    </xdr:to>
    <xdr:sp macro="" textlink="">
      <xdr:nvSpPr>
        <xdr:cNvPr id="37" name="Овал 36">
          <a:extLst>
            <a:ext uri="{FF2B5EF4-FFF2-40B4-BE49-F238E27FC236}">
              <a16:creationId xmlns:a16="http://schemas.microsoft.com/office/drawing/2014/main" xmlns="" id="{00000000-0008-0000-0600-000025000000}"/>
            </a:ext>
          </a:extLst>
        </xdr:cNvPr>
        <xdr:cNvSpPr/>
      </xdr:nvSpPr>
      <xdr:spPr>
        <a:xfrm>
          <a:off x="825883" y="10140017"/>
          <a:ext cx="252573" cy="249555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0</xdr:col>
      <xdr:colOff>524893</xdr:colOff>
      <xdr:row>25</xdr:row>
      <xdr:rowOff>58183</xdr:rowOff>
    </xdr:from>
    <xdr:to>
      <xdr:col>2</xdr:col>
      <xdr:colOff>144782</xdr:colOff>
      <xdr:row>25</xdr:row>
      <xdr:rowOff>333077</xdr:rowOff>
    </xdr:to>
    <xdr:sp macro="" textlink="">
      <xdr:nvSpPr>
        <xdr:cNvPr id="38" name="Полилиния 37">
          <a:extLst>
            <a:ext uri="{FF2B5EF4-FFF2-40B4-BE49-F238E27FC236}">
              <a16:creationId xmlns:a16="http://schemas.microsoft.com/office/drawing/2014/main" xmlns="" id="{00000000-0008-0000-0600-000026000000}"/>
            </a:ext>
          </a:extLst>
        </xdr:cNvPr>
        <xdr:cNvSpPr/>
      </xdr:nvSpPr>
      <xdr:spPr>
        <a:xfrm>
          <a:off x="524893" y="27880708"/>
          <a:ext cx="839089" cy="274894"/>
        </a:xfrm>
        <a:custGeom>
          <a:avLst/>
          <a:gdLst>
            <a:gd name="connsiteX0" fmla="*/ 0 w 690771"/>
            <a:gd name="connsiteY0" fmla="*/ 61534 h 274894"/>
            <a:gd name="connsiteX1" fmla="*/ 95250 w 690771"/>
            <a:gd name="connsiteY1" fmla="*/ 225364 h 274894"/>
            <a:gd name="connsiteX2" fmla="*/ 304800 w 690771"/>
            <a:gd name="connsiteY2" fmla="*/ 164404 h 274894"/>
            <a:gd name="connsiteX3" fmla="*/ 499110 w 690771"/>
            <a:gd name="connsiteY3" fmla="*/ 46294 h 274894"/>
            <a:gd name="connsiteX4" fmla="*/ 643890 w 690771"/>
            <a:gd name="connsiteY4" fmla="*/ 8194 h 274894"/>
            <a:gd name="connsiteX5" fmla="*/ 681990 w 690771"/>
            <a:gd name="connsiteY5" fmla="*/ 194884 h 274894"/>
            <a:gd name="connsiteX6" fmla="*/ 495300 w 690771"/>
            <a:gd name="connsiteY6" fmla="*/ 274894 h 2748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690771" h="274894">
              <a:moveTo>
                <a:pt x="0" y="61534"/>
              </a:moveTo>
              <a:cubicBezTo>
                <a:pt x="22225" y="134876"/>
                <a:pt x="44450" y="208219"/>
                <a:pt x="95250" y="225364"/>
              </a:cubicBezTo>
              <a:cubicBezTo>
                <a:pt x="146050" y="242509"/>
                <a:pt x="237490" y="194249"/>
                <a:pt x="304800" y="164404"/>
              </a:cubicBezTo>
              <a:cubicBezTo>
                <a:pt x="372110" y="134559"/>
                <a:pt x="442595" y="72329"/>
                <a:pt x="499110" y="46294"/>
              </a:cubicBezTo>
              <a:cubicBezTo>
                <a:pt x="555625" y="20259"/>
                <a:pt x="613410" y="-16571"/>
                <a:pt x="643890" y="8194"/>
              </a:cubicBezTo>
              <a:cubicBezTo>
                <a:pt x="674370" y="32959"/>
                <a:pt x="706755" y="150434"/>
                <a:pt x="681990" y="194884"/>
              </a:cubicBezTo>
              <a:cubicBezTo>
                <a:pt x="657225" y="239334"/>
                <a:pt x="530225" y="260924"/>
                <a:pt x="495300" y="274894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м</a:t>
          </a:r>
        </a:p>
      </xdr:txBody>
    </xdr:sp>
    <xdr:clientData/>
  </xdr:twoCellAnchor>
  <xdr:twoCellAnchor>
    <xdr:from>
      <xdr:col>1</xdr:col>
      <xdr:colOff>305671</xdr:colOff>
      <xdr:row>26</xdr:row>
      <xdr:rowOff>75169</xdr:rowOff>
    </xdr:from>
    <xdr:to>
      <xdr:col>1</xdr:col>
      <xdr:colOff>380406</xdr:colOff>
      <xdr:row>26</xdr:row>
      <xdr:rowOff>262152</xdr:rowOff>
    </xdr:to>
    <xdr:cxnSp macro="">
      <xdr:nvCxnSpPr>
        <xdr:cNvPr id="39" name="Прямая соединительная линия 38">
          <a:extLst>
            <a:ext uri="{FF2B5EF4-FFF2-40B4-BE49-F238E27FC236}">
              <a16:creationId xmlns:a16="http://schemas.microsoft.com/office/drawing/2014/main" xmlns="" id="{00000000-0008-0000-0600-000027000000}"/>
            </a:ext>
          </a:extLst>
        </xdr:cNvPr>
        <xdr:cNvCxnSpPr/>
      </xdr:nvCxnSpPr>
      <xdr:spPr>
        <a:xfrm>
          <a:off x="915271" y="28278694"/>
          <a:ext cx="74735" cy="186983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124843</xdr:colOff>
      <xdr:row>27</xdr:row>
      <xdr:rowOff>173057</xdr:rowOff>
    </xdr:from>
    <xdr:to>
      <xdr:col>1</xdr:col>
      <xdr:colOff>155323</xdr:colOff>
      <xdr:row>27</xdr:row>
      <xdr:rowOff>237827</xdr:rowOff>
    </xdr:to>
    <xdr:cxnSp macro="">
      <xdr:nvCxnSpPr>
        <xdr:cNvPr id="40" name="Прямая соединительная линия 39">
          <a:extLst>
            <a:ext uri="{FF2B5EF4-FFF2-40B4-BE49-F238E27FC236}">
              <a16:creationId xmlns:a16="http://schemas.microsoft.com/office/drawing/2014/main" xmlns="" id="{00000000-0008-0000-0600-000028000000}"/>
            </a:ext>
          </a:extLst>
        </xdr:cNvPr>
        <xdr:cNvCxnSpPr/>
      </xdr:nvCxnSpPr>
      <xdr:spPr>
        <a:xfrm>
          <a:off x="734443" y="28757582"/>
          <a:ext cx="30480" cy="6477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151513</xdr:colOff>
      <xdr:row>27</xdr:row>
      <xdr:rowOff>173057</xdr:rowOff>
    </xdr:from>
    <xdr:to>
      <xdr:col>1</xdr:col>
      <xdr:colOff>520291</xdr:colOff>
      <xdr:row>27</xdr:row>
      <xdr:rowOff>226397</xdr:rowOff>
    </xdr:to>
    <xdr:cxnSp macro="">
      <xdr:nvCxnSpPr>
        <xdr:cNvPr id="41" name="Прямая со стрелкой 40">
          <a:extLst>
            <a:ext uri="{FF2B5EF4-FFF2-40B4-BE49-F238E27FC236}">
              <a16:creationId xmlns:a16="http://schemas.microsoft.com/office/drawing/2014/main" xmlns="" id="{00000000-0008-0000-0600-000029000000}"/>
            </a:ext>
          </a:extLst>
        </xdr:cNvPr>
        <xdr:cNvCxnSpPr/>
      </xdr:nvCxnSpPr>
      <xdr:spPr>
        <a:xfrm flipV="1">
          <a:off x="761113" y="28757582"/>
          <a:ext cx="368778" cy="53340"/>
        </a:xfrm>
        <a:prstGeom prst="straightConnector1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524893</xdr:colOff>
      <xdr:row>29</xdr:row>
      <xdr:rowOff>58183</xdr:rowOff>
    </xdr:from>
    <xdr:to>
      <xdr:col>2</xdr:col>
      <xdr:colOff>144782</xdr:colOff>
      <xdr:row>29</xdr:row>
      <xdr:rowOff>333077</xdr:rowOff>
    </xdr:to>
    <xdr:sp macro="" textlink="">
      <xdr:nvSpPr>
        <xdr:cNvPr id="42" name="Полилиния 41">
          <a:extLst>
            <a:ext uri="{FF2B5EF4-FFF2-40B4-BE49-F238E27FC236}">
              <a16:creationId xmlns:a16="http://schemas.microsoft.com/office/drawing/2014/main" xmlns="" id="{00000000-0008-0000-0600-00002A000000}"/>
            </a:ext>
          </a:extLst>
        </xdr:cNvPr>
        <xdr:cNvSpPr/>
      </xdr:nvSpPr>
      <xdr:spPr>
        <a:xfrm>
          <a:off x="524893" y="29404708"/>
          <a:ext cx="839089" cy="274894"/>
        </a:xfrm>
        <a:custGeom>
          <a:avLst/>
          <a:gdLst>
            <a:gd name="connsiteX0" fmla="*/ 0 w 690771"/>
            <a:gd name="connsiteY0" fmla="*/ 61534 h 274894"/>
            <a:gd name="connsiteX1" fmla="*/ 95250 w 690771"/>
            <a:gd name="connsiteY1" fmla="*/ 225364 h 274894"/>
            <a:gd name="connsiteX2" fmla="*/ 304800 w 690771"/>
            <a:gd name="connsiteY2" fmla="*/ 164404 h 274894"/>
            <a:gd name="connsiteX3" fmla="*/ 499110 w 690771"/>
            <a:gd name="connsiteY3" fmla="*/ 46294 h 274894"/>
            <a:gd name="connsiteX4" fmla="*/ 643890 w 690771"/>
            <a:gd name="connsiteY4" fmla="*/ 8194 h 274894"/>
            <a:gd name="connsiteX5" fmla="*/ 681990 w 690771"/>
            <a:gd name="connsiteY5" fmla="*/ 194884 h 274894"/>
            <a:gd name="connsiteX6" fmla="*/ 495300 w 690771"/>
            <a:gd name="connsiteY6" fmla="*/ 274894 h 2748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690771" h="274894">
              <a:moveTo>
                <a:pt x="0" y="61534"/>
              </a:moveTo>
              <a:cubicBezTo>
                <a:pt x="22225" y="134876"/>
                <a:pt x="44450" y="208219"/>
                <a:pt x="95250" y="225364"/>
              </a:cubicBezTo>
              <a:cubicBezTo>
                <a:pt x="146050" y="242509"/>
                <a:pt x="237490" y="194249"/>
                <a:pt x="304800" y="164404"/>
              </a:cubicBezTo>
              <a:cubicBezTo>
                <a:pt x="372110" y="134559"/>
                <a:pt x="442595" y="72329"/>
                <a:pt x="499110" y="46294"/>
              </a:cubicBezTo>
              <a:cubicBezTo>
                <a:pt x="555625" y="20259"/>
                <a:pt x="613410" y="-16571"/>
                <a:pt x="643890" y="8194"/>
              </a:cubicBezTo>
              <a:cubicBezTo>
                <a:pt x="674370" y="32959"/>
                <a:pt x="706755" y="150434"/>
                <a:pt x="681990" y="194884"/>
              </a:cubicBezTo>
              <a:cubicBezTo>
                <a:pt x="657225" y="239334"/>
                <a:pt x="530225" y="260924"/>
                <a:pt x="495300" y="274894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402163</xdr:colOff>
      <xdr:row>29</xdr:row>
      <xdr:rowOff>123698</xdr:rowOff>
    </xdr:from>
    <xdr:to>
      <xdr:col>1</xdr:col>
      <xdr:colOff>414454</xdr:colOff>
      <xdr:row>29</xdr:row>
      <xdr:rowOff>152889</xdr:rowOff>
    </xdr:to>
    <xdr:cxnSp macro="">
      <xdr:nvCxnSpPr>
        <xdr:cNvPr id="43" name="Прямая соединительная линия 42">
          <a:extLst>
            <a:ext uri="{FF2B5EF4-FFF2-40B4-BE49-F238E27FC236}">
              <a16:creationId xmlns:a16="http://schemas.microsoft.com/office/drawing/2014/main" xmlns="" id="{00000000-0008-0000-0600-00002B000000}"/>
            </a:ext>
          </a:extLst>
        </xdr:cNvPr>
        <xdr:cNvCxnSpPr/>
      </xdr:nvCxnSpPr>
      <xdr:spPr>
        <a:xfrm>
          <a:off x="1011763" y="29470223"/>
          <a:ext cx="12291" cy="2919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562963</xdr:colOff>
      <xdr:row>29</xdr:row>
      <xdr:rowOff>53600</xdr:rowOff>
    </xdr:from>
    <xdr:to>
      <xdr:col>1</xdr:col>
      <xdr:colOff>563578</xdr:colOff>
      <xdr:row>29</xdr:row>
      <xdr:rowOff>86169</xdr:rowOff>
    </xdr:to>
    <xdr:cxnSp macro="">
      <xdr:nvCxnSpPr>
        <xdr:cNvPr id="44" name="Прямая соединительная линия 43">
          <a:extLst>
            <a:ext uri="{FF2B5EF4-FFF2-40B4-BE49-F238E27FC236}">
              <a16:creationId xmlns:a16="http://schemas.microsoft.com/office/drawing/2014/main" xmlns="" id="{00000000-0008-0000-0600-00002C000000}"/>
            </a:ext>
          </a:extLst>
        </xdr:cNvPr>
        <xdr:cNvCxnSpPr/>
      </xdr:nvCxnSpPr>
      <xdr:spPr>
        <a:xfrm flipV="1">
          <a:off x="1172563" y="29400125"/>
          <a:ext cx="615" cy="3256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524893</xdr:colOff>
      <xdr:row>28</xdr:row>
      <xdr:rowOff>58183</xdr:rowOff>
    </xdr:from>
    <xdr:to>
      <xdr:col>2</xdr:col>
      <xdr:colOff>144782</xdr:colOff>
      <xdr:row>28</xdr:row>
      <xdr:rowOff>333077</xdr:rowOff>
    </xdr:to>
    <xdr:sp macro="" textlink="">
      <xdr:nvSpPr>
        <xdr:cNvPr id="45" name="Полилиния 44">
          <a:extLst>
            <a:ext uri="{FF2B5EF4-FFF2-40B4-BE49-F238E27FC236}">
              <a16:creationId xmlns:a16="http://schemas.microsoft.com/office/drawing/2014/main" xmlns="" id="{00000000-0008-0000-0600-00002D000000}"/>
            </a:ext>
          </a:extLst>
        </xdr:cNvPr>
        <xdr:cNvSpPr/>
      </xdr:nvSpPr>
      <xdr:spPr>
        <a:xfrm>
          <a:off x="524893" y="29023708"/>
          <a:ext cx="839089" cy="274894"/>
        </a:xfrm>
        <a:custGeom>
          <a:avLst/>
          <a:gdLst>
            <a:gd name="connsiteX0" fmla="*/ 0 w 690771"/>
            <a:gd name="connsiteY0" fmla="*/ 61534 h 274894"/>
            <a:gd name="connsiteX1" fmla="*/ 95250 w 690771"/>
            <a:gd name="connsiteY1" fmla="*/ 225364 h 274894"/>
            <a:gd name="connsiteX2" fmla="*/ 304800 w 690771"/>
            <a:gd name="connsiteY2" fmla="*/ 164404 h 274894"/>
            <a:gd name="connsiteX3" fmla="*/ 499110 w 690771"/>
            <a:gd name="connsiteY3" fmla="*/ 46294 h 274894"/>
            <a:gd name="connsiteX4" fmla="*/ 643890 w 690771"/>
            <a:gd name="connsiteY4" fmla="*/ 8194 h 274894"/>
            <a:gd name="connsiteX5" fmla="*/ 681990 w 690771"/>
            <a:gd name="connsiteY5" fmla="*/ 194884 h 274894"/>
            <a:gd name="connsiteX6" fmla="*/ 495300 w 690771"/>
            <a:gd name="connsiteY6" fmla="*/ 274894 h 2748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690771" h="274894">
              <a:moveTo>
                <a:pt x="0" y="61534"/>
              </a:moveTo>
              <a:cubicBezTo>
                <a:pt x="22225" y="134876"/>
                <a:pt x="44450" y="208219"/>
                <a:pt x="95250" y="225364"/>
              </a:cubicBezTo>
              <a:cubicBezTo>
                <a:pt x="146050" y="242509"/>
                <a:pt x="237490" y="194249"/>
                <a:pt x="304800" y="164404"/>
              </a:cubicBezTo>
              <a:cubicBezTo>
                <a:pt x="372110" y="134559"/>
                <a:pt x="442595" y="72329"/>
                <a:pt x="499110" y="46294"/>
              </a:cubicBezTo>
              <a:cubicBezTo>
                <a:pt x="555625" y="20259"/>
                <a:pt x="613410" y="-16571"/>
                <a:pt x="643890" y="8194"/>
              </a:cubicBezTo>
              <a:cubicBezTo>
                <a:pt x="674370" y="32959"/>
                <a:pt x="706755" y="150434"/>
                <a:pt x="681990" y="194884"/>
              </a:cubicBezTo>
              <a:cubicBezTo>
                <a:pt x="657225" y="239334"/>
                <a:pt x="530225" y="260924"/>
                <a:pt x="495300" y="274894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3571</xdr:colOff>
      <xdr:row>28</xdr:row>
      <xdr:rowOff>132001</xdr:rowOff>
    </xdr:from>
    <xdr:to>
      <xdr:col>2</xdr:col>
      <xdr:colOff>75571</xdr:colOff>
      <xdr:row>28</xdr:row>
      <xdr:rowOff>204001</xdr:rowOff>
    </xdr:to>
    <xdr:sp macro="" textlink="">
      <xdr:nvSpPr>
        <xdr:cNvPr id="46" name="Овал 45">
          <a:extLst>
            <a:ext uri="{FF2B5EF4-FFF2-40B4-BE49-F238E27FC236}">
              <a16:creationId xmlns:a16="http://schemas.microsoft.com/office/drawing/2014/main" xmlns="" id="{00000000-0008-0000-0600-00002E000000}"/>
            </a:ext>
          </a:extLst>
        </xdr:cNvPr>
        <xdr:cNvSpPr/>
      </xdr:nvSpPr>
      <xdr:spPr>
        <a:xfrm>
          <a:off x="1222771" y="29097526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342900</xdr:colOff>
      <xdr:row>16</xdr:row>
      <xdr:rowOff>37363</xdr:rowOff>
    </xdr:from>
    <xdr:to>
      <xdr:col>1</xdr:col>
      <xdr:colOff>17116</xdr:colOff>
      <xdr:row>16</xdr:row>
      <xdr:rowOff>317454</xdr:rowOff>
    </xdr:to>
    <xdr:sp macro="" textlink="">
      <xdr:nvSpPr>
        <xdr:cNvPr id="47" name="Овал 46">
          <a:extLst>
            <a:ext uri="{FF2B5EF4-FFF2-40B4-BE49-F238E27FC236}">
              <a16:creationId xmlns:a16="http://schemas.microsoft.com/office/drawing/2014/main" xmlns="" id="{00000000-0008-0000-0600-00002F000000}"/>
            </a:ext>
          </a:extLst>
        </xdr:cNvPr>
        <xdr:cNvSpPr/>
      </xdr:nvSpPr>
      <xdr:spPr>
        <a:xfrm>
          <a:off x="342900" y="24497563"/>
          <a:ext cx="283816" cy="280091"/>
        </a:xfrm>
        <a:prstGeom prst="ellipse">
          <a:avLst/>
        </a:prstGeom>
        <a:solidFill>
          <a:schemeClr val="bg1"/>
        </a:solidFill>
        <a:ln w="31750">
          <a:solidFill>
            <a:srgbClr val="FF0000"/>
          </a:solidFill>
          <a:prstDash val="sysDash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90</a:t>
          </a:r>
          <a:endParaRPr lang="ru-RU" sz="10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140174</xdr:colOff>
      <xdr:row>16</xdr:row>
      <xdr:rowOff>43228</xdr:rowOff>
    </xdr:from>
    <xdr:to>
      <xdr:col>2</xdr:col>
      <xdr:colOff>439911</xdr:colOff>
      <xdr:row>16</xdr:row>
      <xdr:rowOff>298777</xdr:rowOff>
    </xdr:to>
    <xdr:sp macro="" textlink="">
      <xdr:nvSpPr>
        <xdr:cNvPr id="48" name="Прямоугольник 47">
          <a:extLst>
            <a:ext uri="{FF2B5EF4-FFF2-40B4-BE49-F238E27FC236}">
              <a16:creationId xmlns:a16="http://schemas.microsoft.com/office/drawing/2014/main" xmlns="" id="{00000000-0008-0000-0600-000030000000}"/>
            </a:ext>
          </a:extLst>
        </xdr:cNvPr>
        <xdr:cNvSpPr/>
      </xdr:nvSpPr>
      <xdr:spPr>
        <a:xfrm>
          <a:off x="749774" y="24503428"/>
          <a:ext cx="909337" cy="255549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  <a:prstDash val="dash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endParaRPr lang="ru-RU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129367</xdr:colOff>
      <xdr:row>29</xdr:row>
      <xdr:rowOff>205680</xdr:rowOff>
    </xdr:from>
    <xdr:to>
      <xdr:col>1</xdr:col>
      <xdr:colOff>170121</xdr:colOff>
      <xdr:row>29</xdr:row>
      <xdr:rowOff>305854</xdr:rowOff>
    </xdr:to>
    <xdr:cxnSp macro="">
      <xdr:nvCxnSpPr>
        <xdr:cNvPr id="49" name="Прямая соединительная линия 48">
          <a:extLst>
            <a:ext uri="{FF2B5EF4-FFF2-40B4-BE49-F238E27FC236}">
              <a16:creationId xmlns:a16="http://schemas.microsoft.com/office/drawing/2014/main" xmlns="" id="{00000000-0008-0000-0600-000031000000}"/>
            </a:ext>
          </a:extLst>
        </xdr:cNvPr>
        <xdr:cNvCxnSpPr/>
      </xdr:nvCxnSpPr>
      <xdr:spPr>
        <a:xfrm flipH="1" flipV="1">
          <a:off x="738967" y="29552205"/>
          <a:ext cx="40754" cy="100174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592457</xdr:colOff>
      <xdr:row>30</xdr:row>
      <xdr:rowOff>73997</xdr:rowOff>
    </xdr:from>
    <xdr:to>
      <xdr:col>2</xdr:col>
      <xdr:colOff>232412</xdr:colOff>
      <xdr:row>30</xdr:row>
      <xdr:rowOff>323552</xdr:rowOff>
    </xdr:to>
    <xdr:sp macro="" textlink="">
      <xdr:nvSpPr>
        <xdr:cNvPr id="50" name="Овал 49">
          <a:extLst>
            <a:ext uri="{FF2B5EF4-FFF2-40B4-BE49-F238E27FC236}">
              <a16:creationId xmlns:a16="http://schemas.microsoft.com/office/drawing/2014/main" xmlns="" id="{00000000-0008-0000-0600-000032000000}"/>
            </a:ext>
          </a:extLst>
        </xdr:cNvPr>
        <xdr:cNvSpPr/>
      </xdr:nvSpPr>
      <xdr:spPr>
        <a:xfrm>
          <a:off x="1202057" y="10141922"/>
          <a:ext cx="249555" cy="249555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3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432661</xdr:colOff>
      <xdr:row>24</xdr:row>
      <xdr:rowOff>69485</xdr:rowOff>
    </xdr:from>
    <xdr:to>
      <xdr:col>2</xdr:col>
      <xdr:colOff>74297</xdr:colOff>
      <xdr:row>24</xdr:row>
      <xdr:rowOff>323552</xdr:rowOff>
    </xdr:to>
    <xdr:sp macro="" textlink="">
      <xdr:nvSpPr>
        <xdr:cNvPr id="51" name="Овал 50">
          <a:extLst>
            <a:ext uri="{FF2B5EF4-FFF2-40B4-BE49-F238E27FC236}">
              <a16:creationId xmlns:a16="http://schemas.microsoft.com/office/drawing/2014/main" xmlns="" id="{00000000-0008-0000-0600-000033000000}"/>
            </a:ext>
          </a:extLst>
        </xdr:cNvPr>
        <xdr:cNvSpPr/>
      </xdr:nvSpPr>
      <xdr:spPr>
        <a:xfrm>
          <a:off x="1042261" y="7851410"/>
          <a:ext cx="251236" cy="254067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F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381399</xdr:colOff>
      <xdr:row>13</xdr:row>
      <xdr:rowOff>24023</xdr:rowOff>
    </xdr:from>
    <xdr:to>
      <xdr:col>2</xdr:col>
      <xdr:colOff>205247</xdr:colOff>
      <xdr:row>13</xdr:row>
      <xdr:rowOff>358889</xdr:rowOff>
    </xdr:to>
    <xdr:sp macro="" textlink="">
      <xdr:nvSpPr>
        <xdr:cNvPr id="52" name="Прямоугольник 51">
          <a:extLst>
            <a:ext uri="{FF2B5EF4-FFF2-40B4-BE49-F238E27FC236}">
              <a16:creationId xmlns:a16="http://schemas.microsoft.com/office/drawing/2014/main" xmlns="" id="{00000000-0008-0000-0600-000034000000}"/>
            </a:ext>
          </a:extLst>
        </xdr:cNvPr>
        <xdr:cNvSpPr/>
      </xdr:nvSpPr>
      <xdr:spPr>
        <a:xfrm>
          <a:off x="990999" y="23341223"/>
          <a:ext cx="433448" cy="334866"/>
        </a:xfrm>
        <a:prstGeom prst="rect">
          <a:avLst/>
        </a:prstGeom>
        <a:solidFill>
          <a:schemeClr val="bg1">
            <a:lumMod val="85000"/>
          </a:schemeClr>
        </a:solidFill>
        <a:ln w="0"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ru-RU" sz="16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502912</xdr:colOff>
      <xdr:row>26</xdr:row>
      <xdr:rowOff>60381</xdr:rowOff>
    </xdr:from>
    <xdr:to>
      <xdr:col>2</xdr:col>
      <xdr:colOff>122801</xdr:colOff>
      <xdr:row>26</xdr:row>
      <xdr:rowOff>335275</xdr:rowOff>
    </xdr:to>
    <xdr:sp macro="" textlink="">
      <xdr:nvSpPr>
        <xdr:cNvPr id="53" name="Полилиния 52">
          <a:extLst>
            <a:ext uri="{FF2B5EF4-FFF2-40B4-BE49-F238E27FC236}">
              <a16:creationId xmlns:a16="http://schemas.microsoft.com/office/drawing/2014/main" xmlns="" id="{00000000-0008-0000-0600-000035000000}"/>
            </a:ext>
          </a:extLst>
        </xdr:cNvPr>
        <xdr:cNvSpPr/>
      </xdr:nvSpPr>
      <xdr:spPr>
        <a:xfrm>
          <a:off x="502912" y="28263906"/>
          <a:ext cx="839089" cy="274894"/>
        </a:xfrm>
        <a:custGeom>
          <a:avLst/>
          <a:gdLst>
            <a:gd name="connsiteX0" fmla="*/ 0 w 690771"/>
            <a:gd name="connsiteY0" fmla="*/ 61534 h 274894"/>
            <a:gd name="connsiteX1" fmla="*/ 95250 w 690771"/>
            <a:gd name="connsiteY1" fmla="*/ 225364 h 274894"/>
            <a:gd name="connsiteX2" fmla="*/ 304800 w 690771"/>
            <a:gd name="connsiteY2" fmla="*/ 164404 h 274894"/>
            <a:gd name="connsiteX3" fmla="*/ 499110 w 690771"/>
            <a:gd name="connsiteY3" fmla="*/ 46294 h 274894"/>
            <a:gd name="connsiteX4" fmla="*/ 643890 w 690771"/>
            <a:gd name="connsiteY4" fmla="*/ 8194 h 274894"/>
            <a:gd name="connsiteX5" fmla="*/ 681990 w 690771"/>
            <a:gd name="connsiteY5" fmla="*/ 194884 h 274894"/>
            <a:gd name="connsiteX6" fmla="*/ 495300 w 690771"/>
            <a:gd name="connsiteY6" fmla="*/ 274894 h 2748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690771" h="274894">
              <a:moveTo>
                <a:pt x="0" y="61534"/>
              </a:moveTo>
              <a:cubicBezTo>
                <a:pt x="22225" y="134876"/>
                <a:pt x="44450" y="208219"/>
                <a:pt x="95250" y="225364"/>
              </a:cubicBezTo>
              <a:cubicBezTo>
                <a:pt x="146050" y="242509"/>
                <a:pt x="237490" y="194249"/>
                <a:pt x="304800" y="164404"/>
              </a:cubicBezTo>
              <a:cubicBezTo>
                <a:pt x="372110" y="134559"/>
                <a:pt x="442595" y="72329"/>
                <a:pt x="499110" y="46294"/>
              </a:cubicBezTo>
              <a:cubicBezTo>
                <a:pt x="555625" y="20259"/>
                <a:pt x="613410" y="-16571"/>
                <a:pt x="643890" y="8194"/>
              </a:cubicBezTo>
              <a:cubicBezTo>
                <a:pt x="674370" y="32959"/>
                <a:pt x="706755" y="150434"/>
                <a:pt x="681990" y="194884"/>
              </a:cubicBezTo>
              <a:cubicBezTo>
                <a:pt x="657225" y="239334"/>
                <a:pt x="530225" y="260924"/>
                <a:pt x="495300" y="274894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м</a:t>
          </a:r>
        </a:p>
      </xdr:txBody>
    </xdr:sp>
    <xdr:clientData/>
  </xdr:twoCellAnchor>
  <xdr:twoCellAnchor>
    <xdr:from>
      <xdr:col>0</xdr:col>
      <xdr:colOff>342900</xdr:colOff>
      <xdr:row>17</xdr:row>
      <xdr:rowOff>28844</xdr:rowOff>
    </xdr:from>
    <xdr:to>
      <xdr:col>1</xdr:col>
      <xdr:colOff>17116</xdr:colOff>
      <xdr:row>17</xdr:row>
      <xdr:rowOff>372222</xdr:rowOff>
    </xdr:to>
    <xdr:grpSp>
      <xdr:nvGrpSpPr>
        <xdr:cNvPr id="86" name="Группа 85">
          <a:extLst>
            <a:ext uri="{FF2B5EF4-FFF2-40B4-BE49-F238E27FC236}">
              <a16:creationId xmlns:a16="http://schemas.microsoft.com/office/drawing/2014/main" xmlns="" id="{00000000-0008-0000-0600-000056000000}"/>
            </a:ext>
          </a:extLst>
        </xdr:cNvPr>
        <xdr:cNvGrpSpPr/>
      </xdr:nvGrpSpPr>
      <xdr:grpSpPr>
        <a:xfrm>
          <a:off x="342900" y="5248544"/>
          <a:ext cx="283816" cy="343378"/>
          <a:chOff x="342900" y="4529810"/>
          <a:chExt cx="284462" cy="343378"/>
        </a:xfrm>
      </xdr:grpSpPr>
      <xdr:sp macro="" textlink="">
        <xdr:nvSpPr>
          <xdr:cNvPr id="55" name="Овал 54">
            <a:extLst>
              <a:ext uri="{FF2B5EF4-FFF2-40B4-BE49-F238E27FC236}">
                <a16:creationId xmlns:a16="http://schemas.microsoft.com/office/drawing/2014/main" xmlns="" id="{00000000-0008-0000-0600-000037000000}"/>
              </a:ext>
            </a:extLst>
          </xdr:cNvPr>
          <xdr:cNvSpPr/>
        </xdr:nvSpPr>
        <xdr:spPr>
          <a:xfrm>
            <a:off x="342900" y="4529810"/>
            <a:ext cx="284462" cy="281384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56" name="Прямая со стрелкой 55">
            <a:extLst>
              <a:ext uri="{FF2B5EF4-FFF2-40B4-BE49-F238E27FC236}">
                <a16:creationId xmlns:a16="http://schemas.microsoft.com/office/drawing/2014/main" xmlns="" id="{00000000-0008-0000-0600-000038000000}"/>
              </a:ext>
            </a:extLst>
          </xdr:cNvPr>
          <xdr:cNvCxnSpPr/>
        </xdr:nvCxnSpPr>
        <xdr:spPr>
          <a:xfrm flipV="1">
            <a:off x="485879" y="4679145"/>
            <a:ext cx="0" cy="194043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140174</xdr:colOff>
      <xdr:row>17</xdr:row>
      <xdr:rowOff>49749</xdr:rowOff>
    </xdr:from>
    <xdr:to>
      <xdr:col>2</xdr:col>
      <xdr:colOff>439911</xdr:colOff>
      <xdr:row>17</xdr:row>
      <xdr:rowOff>372222</xdr:rowOff>
    </xdr:to>
    <xdr:grpSp>
      <xdr:nvGrpSpPr>
        <xdr:cNvPr id="87" name="Группа 86">
          <a:extLst>
            <a:ext uri="{FF2B5EF4-FFF2-40B4-BE49-F238E27FC236}">
              <a16:creationId xmlns:a16="http://schemas.microsoft.com/office/drawing/2014/main" xmlns="" id="{00000000-0008-0000-0600-000057000000}"/>
            </a:ext>
          </a:extLst>
        </xdr:cNvPr>
        <xdr:cNvGrpSpPr/>
      </xdr:nvGrpSpPr>
      <xdr:grpSpPr>
        <a:xfrm>
          <a:off x="749774" y="5269449"/>
          <a:ext cx="909337" cy="322473"/>
          <a:chOff x="750420" y="4550715"/>
          <a:chExt cx="909983" cy="322473"/>
        </a:xfrm>
      </xdr:grpSpPr>
      <xdr:sp macro="" textlink="">
        <xdr:nvSpPr>
          <xdr:cNvPr id="58" name="Прямоугольник 57">
            <a:extLst>
              <a:ext uri="{FF2B5EF4-FFF2-40B4-BE49-F238E27FC236}">
                <a16:creationId xmlns:a16="http://schemas.microsoft.com/office/drawing/2014/main" xmlns="" id="{00000000-0008-0000-0600-00003A000000}"/>
              </a:ext>
            </a:extLst>
          </xdr:cNvPr>
          <xdr:cNvSpPr/>
        </xdr:nvSpPr>
        <xdr:spPr>
          <a:xfrm>
            <a:off x="750420" y="4550715"/>
            <a:ext cx="909983" cy="256842"/>
          </a:xfrm>
          <a:prstGeom prst="rect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0"/>
          <a:lstStyle/>
          <a:p>
            <a:pPr algn="ctr"/>
            <a:endParaRPr lang="ru-RU" sz="1100" b="1">
              <a:solidFill>
                <a:sysClr val="windowText" lastClr="000000"/>
              </a:solidFill>
            </a:endParaRPr>
          </a:p>
        </xdr:txBody>
      </xdr:sp>
      <xdr:cxnSp macro="">
        <xdr:nvCxnSpPr>
          <xdr:cNvPr id="59" name="Прямая со стрелкой 58">
            <a:extLst>
              <a:ext uri="{FF2B5EF4-FFF2-40B4-BE49-F238E27FC236}">
                <a16:creationId xmlns:a16="http://schemas.microsoft.com/office/drawing/2014/main" xmlns="" id="{00000000-0008-0000-0600-00003B000000}"/>
              </a:ext>
            </a:extLst>
          </xdr:cNvPr>
          <xdr:cNvCxnSpPr/>
        </xdr:nvCxnSpPr>
        <xdr:spPr>
          <a:xfrm flipV="1">
            <a:off x="875632" y="4679145"/>
            <a:ext cx="0" cy="194043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60" name="Прямая со стрелкой 59">
            <a:extLst>
              <a:ext uri="{FF2B5EF4-FFF2-40B4-BE49-F238E27FC236}">
                <a16:creationId xmlns:a16="http://schemas.microsoft.com/office/drawing/2014/main" xmlns="" id="{00000000-0008-0000-0600-00003C000000}"/>
              </a:ext>
            </a:extLst>
          </xdr:cNvPr>
          <xdr:cNvCxnSpPr/>
        </xdr:nvCxnSpPr>
        <xdr:spPr>
          <a:xfrm flipV="1">
            <a:off x="1514694" y="4679145"/>
            <a:ext cx="0" cy="194043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134588</xdr:colOff>
      <xdr:row>18</xdr:row>
      <xdr:rowOff>164050</xdr:rowOff>
    </xdr:from>
    <xdr:to>
      <xdr:col>1</xdr:col>
      <xdr:colOff>515067</xdr:colOff>
      <xdr:row>18</xdr:row>
      <xdr:rowOff>215429</xdr:rowOff>
    </xdr:to>
    <xdr:grpSp>
      <xdr:nvGrpSpPr>
        <xdr:cNvPr id="88" name="Группа 87">
          <a:extLst>
            <a:ext uri="{FF2B5EF4-FFF2-40B4-BE49-F238E27FC236}">
              <a16:creationId xmlns:a16="http://schemas.microsoft.com/office/drawing/2014/main" xmlns="" id="{00000000-0008-0000-0600-000058000000}"/>
            </a:ext>
          </a:extLst>
        </xdr:cNvPr>
        <xdr:cNvGrpSpPr/>
      </xdr:nvGrpSpPr>
      <xdr:grpSpPr>
        <a:xfrm>
          <a:off x="744188" y="5764750"/>
          <a:ext cx="380479" cy="51379"/>
          <a:chOff x="744834" y="5046016"/>
          <a:chExt cx="380479" cy="51379"/>
        </a:xfrm>
      </xdr:grpSpPr>
      <xdr:cxnSp macro="">
        <xdr:nvCxnSpPr>
          <xdr:cNvPr id="62" name="Прямая со стрелкой 61">
            <a:extLst>
              <a:ext uri="{FF2B5EF4-FFF2-40B4-BE49-F238E27FC236}">
                <a16:creationId xmlns:a16="http://schemas.microsoft.com/office/drawing/2014/main" xmlns="" id="{00000000-0008-0000-0600-00003E000000}"/>
              </a:ext>
            </a:extLst>
          </xdr:cNvPr>
          <xdr:cNvCxnSpPr/>
        </xdr:nvCxnSpPr>
        <xdr:spPr>
          <a:xfrm flipH="1">
            <a:off x="797770" y="5076837"/>
            <a:ext cx="116554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63" name="Овал 62">
            <a:extLst>
              <a:ext uri="{FF2B5EF4-FFF2-40B4-BE49-F238E27FC236}">
                <a16:creationId xmlns:a16="http://schemas.microsoft.com/office/drawing/2014/main" xmlns="" id="{00000000-0008-0000-0600-00003F000000}"/>
              </a:ext>
            </a:extLst>
          </xdr:cNvPr>
          <xdr:cNvSpPr/>
        </xdr:nvSpPr>
        <xdr:spPr>
          <a:xfrm>
            <a:off x="744834" y="5046016"/>
            <a:ext cx="46800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">
        <xdr:nvSpPr>
          <xdr:cNvPr id="64" name="Овал 63">
            <a:extLst>
              <a:ext uri="{FF2B5EF4-FFF2-40B4-BE49-F238E27FC236}">
                <a16:creationId xmlns:a16="http://schemas.microsoft.com/office/drawing/2014/main" xmlns="" id="{00000000-0008-0000-0600-000040000000}"/>
              </a:ext>
            </a:extLst>
          </xdr:cNvPr>
          <xdr:cNvSpPr/>
        </xdr:nvSpPr>
        <xdr:spPr>
          <a:xfrm>
            <a:off x="1078513" y="5046016"/>
            <a:ext cx="46800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65" name="Прямая со стрелкой 64">
            <a:extLst>
              <a:ext uri="{FF2B5EF4-FFF2-40B4-BE49-F238E27FC236}">
                <a16:creationId xmlns:a16="http://schemas.microsoft.com/office/drawing/2014/main" xmlns="" id="{00000000-0008-0000-0600-000041000000}"/>
              </a:ext>
            </a:extLst>
          </xdr:cNvPr>
          <xdr:cNvCxnSpPr/>
        </xdr:nvCxnSpPr>
        <xdr:spPr>
          <a:xfrm flipH="1">
            <a:off x="954671" y="5076837"/>
            <a:ext cx="119572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187418</xdr:colOff>
      <xdr:row>19</xdr:row>
      <xdr:rowOff>147970</xdr:rowOff>
    </xdr:from>
    <xdr:to>
      <xdr:col>1</xdr:col>
      <xdr:colOff>484698</xdr:colOff>
      <xdr:row>19</xdr:row>
      <xdr:rowOff>196331</xdr:rowOff>
    </xdr:to>
    <xdr:grpSp>
      <xdr:nvGrpSpPr>
        <xdr:cNvPr id="89" name="Группа 88">
          <a:extLst>
            <a:ext uri="{FF2B5EF4-FFF2-40B4-BE49-F238E27FC236}">
              <a16:creationId xmlns:a16="http://schemas.microsoft.com/office/drawing/2014/main" xmlns="" id="{00000000-0008-0000-0600-000059000000}"/>
            </a:ext>
          </a:extLst>
        </xdr:cNvPr>
        <xdr:cNvGrpSpPr/>
      </xdr:nvGrpSpPr>
      <xdr:grpSpPr>
        <a:xfrm flipH="1">
          <a:off x="797018" y="6129670"/>
          <a:ext cx="297280" cy="48361"/>
          <a:chOff x="797664" y="5410936"/>
          <a:chExt cx="297280" cy="48361"/>
        </a:xfrm>
      </xdr:grpSpPr>
      <xdr:sp macro="" textlink="">
        <xdr:nvSpPr>
          <xdr:cNvPr id="67" name="Овал 66">
            <a:extLst>
              <a:ext uri="{FF2B5EF4-FFF2-40B4-BE49-F238E27FC236}">
                <a16:creationId xmlns:a16="http://schemas.microsoft.com/office/drawing/2014/main" xmlns="" id="{00000000-0008-0000-0600-000043000000}"/>
              </a:ext>
            </a:extLst>
          </xdr:cNvPr>
          <xdr:cNvSpPr/>
        </xdr:nvSpPr>
        <xdr:spPr>
          <a:xfrm>
            <a:off x="1048144" y="5410936"/>
            <a:ext cx="46800" cy="48361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68" name="Прямая со стрелкой 67">
            <a:extLst>
              <a:ext uri="{FF2B5EF4-FFF2-40B4-BE49-F238E27FC236}">
                <a16:creationId xmlns:a16="http://schemas.microsoft.com/office/drawing/2014/main" xmlns="" id="{00000000-0008-0000-0600-000044000000}"/>
              </a:ext>
            </a:extLst>
          </xdr:cNvPr>
          <xdr:cNvCxnSpPr/>
        </xdr:nvCxnSpPr>
        <xdr:spPr>
          <a:xfrm flipH="1">
            <a:off x="797664" y="5438739"/>
            <a:ext cx="246210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273395</xdr:colOff>
      <xdr:row>21</xdr:row>
      <xdr:rowOff>42612</xdr:rowOff>
    </xdr:from>
    <xdr:to>
      <xdr:col>1</xdr:col>
      <xdr:colOff>375949</xdr:colOff>
      <xdr:row>21</xdr:row>
      <xdr:rowOff>340269</xdr:rowOff>
    </xdr:to>
    <xdr:grpSp>
      <xdr:nvGrpSpPr>
        <xdr:cNvPr id="69" name="Группа 68">
          <a:extLst>
            <a:ext uri="{FF2B5EF4-FFF2-40B4-BE49-F238E27FC236}">
              <a16:creationId xmlns:a16="http://schemas.microsoft.com/office/drawing/2014/main" xmlns="" id="{00000000-0008-0000-0600-000045000000}"/>
            </a:ext>
          </a:extLst>
        </xdr:cNvPr>
        <xdr:cNvGrpSpPr/>
      </xdr:nvGrpSpPr>
      <xdr:grpSpPr>
        <a:xfrm>
          <a:off x="882995" y="6786312"/>
          <a:ext cx="102554" cy="297657"/>
          <a:chOff x="635632" y="15053070"/>
          <a:chExt cx="102554" cy="297657"/>
        </a:xfrm>
      </xdr:grpSpPr>
      <xdr:sp macro="" textlink="">
        <xdr:nvSpPr>
          <xdr:cNvPr id="70" name="Прямоугольник 69">
            <a:extLst>
              <a:ext uri="{FF2B5EF4-FFF2-40B4-BE49-F238E27FC236}">
                <a16:creationId xmlns:a16="http://schemas.microsoft.com/office/drawing/2014/main" xmlns="" id="{00000000-0008-0000-0600-000046000000}"/>
              </a:ext>
            </a:extLst>
          </xdr:cNvPr>
          <xdr:cNvSpPr/>
        </xdr:nvSpPr>
        <xdr:spPr>
          <a:xfrm flipH="1">
            <a:off x="635632" y="15053070"/>
            <a:ext cx="102554" cy="297657"/>
          </a:xfrm>
          <a:prstGeom prst="rect">
            <a:avLst/>
          </a:prstGeom>
          <a:solidFill>
            <a:schemeClr val="tx1">
              <a:lumMod val="75000"/>
              <a:lumOff val="2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71" name="Овал 70">
            <a:extLst>
              <a:ext uri="{FF2B5EF4-FFF2-40B4-BE49-F238E27FC236}">
                <a16:creationId xmlns:a16="http://schemas.microsoft.com/office/drawing/2014/main" xmlns="" id="{00000000-0008-0000-0600-000047000000}"/>
              </a:ext>
            </a:extLst>
          </xdr:cNvPr>
          <xdr:cNvSpPr/>
        </xdr:nvSpPr>
        <xdr:spPr>
          <a:xfrm flipH="1">
            <a:off x="650305" y="15069367"/>
            <a:ext cx="73208" cy="73208"/>
          </a:xfrm>
          <a:prstGeom prst="ellipse">
            <a:avLst/>
          </a:prstGeom>
          <a:solidFill>
            <a:srgbClr val="FF000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72" name="Овал 71">
            <a:extLst>
              <a:ext uri="{FF2B5EF4-FFF2-40B4-BE49-F238E27FC236}">
                <a16:creationId xmlns:a16="http://schemas.microsoft.com/office/drawing/2014/main" xmlns="" id="{00000000-0008-0000-0600-000048000000}"/>
              </a:ext>
            </a:extLst>
          </xdr:cNvPr>
          <xdr:cNvSpPr/>
        </xdr:nvSpPr>
        <xdr:spPr>
          <a:xfrm flipH="1">
            <a:off x="650305" y="15165295"/>
            <a:ext cx="73208" cy="73208"/>
          </a:xfrm>
          <a:prstGeom prst="ellipse">
            <a:avLst/>
          </a:prstGeom>
          <a:solidFill>
            <a:srgbClr val="FFFF0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73" name="Овал 72">
            <a:extLst>
              <a:ext uri="{FF2B5EF4-FFF2-40B4-BE49-F238E27FC236}">
                <a16:creationId xmlns:a16="http://schemas.microsoft.com/office/drawing/2014/main" xmlns="" id="{00000000-0008-0000-0600-000049000000}"/>
              </a:ext>
            </a:extLst>
          </xdr:cNvPr>
          <xdr:cNvSpPr/>
        </xdr:nvSpPr>
        <xdr:spPr>
          <a:xfrm flipH="1">
            <a:off x="650305" y="15261223"/>
            <a:ext cx="73208" cy="73208"/>
          </a:xfrm>
          <a:prstGeom prst="ellipse">
            <a:avLst/>
          </a:prstGeom>
          <a:solidFill>
            <a:srgbClr val="00B05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1</xdr:col>
      <xdr:colOff>20878</xdr:colOff>
      <xdr:row>28</xdr:row>
      <xdr:rowOff>250243</xdr:rowOff>
    </xdr:from>
    <xdr:to>
      <xdr:col>1</xdr:col>
      <xdr:colOff>92878</xdr:colOff>
      <xdr:row>28</xdr:row>
      <xdr:rowOff>322243</xdr:rowOff>
    </xdr:to>
    <xdr:sp macro="" textlink="">
      <xdr:nvSpPr>
        <xdr:cNvPr id="74" name="Овал 73">
          <a:extLst>
            <a:ext uri="{FF2B5EF4-FFF2-40B4-BE49-F238E27FC236}">
              <a16:creationId xmlns:a16="http://schemas.microsoft.com/office/drawing/2014/main" xmlns="" id="{00000000-0008-0000-0600-00004A000000}"/>
            </a:ext>
          </a:extLst>
        </xdr:cNvPr>
        <xdr:cNvSpPr/>
      </xdr:nvSpPr>
      <xdr:spPr>
        <a:xfrm>
          <a:off x="630478" y="29215768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535665</xdr:colOff>
      <xdr:row>20</xdr:row>
      <xdr:rowOff>39408</xdr:rowOff>
    </xdr:from>
    <xdr:to>
      <xdr:col>2</xdr:col>
      <xdr:colOff>120601</xdr:colOff>
      <xdr:row>20</xdr:row>
      <xdr:rowOff>311004</xdr:rowOff>
    </xdr:to>
    <xdr:grpSp>
      <xdr:nvGrpSpPr>
        <xdr:cNvPr id="91" name="Группа 90">
          <a:extLst>
            <a:ext uri="{FF2B5EF4-FFF2-40B4-BE49-F238E27FC236}">
              <a16:creationId xmlns:a16="http://schemas.microsoft.com/office/drawing/2014/main" xmlns="" id="{00000000-0008-0000-0600-00005B000000}"/>
            </a:ext>
          </a:extLst>
        </xdr:cNvPr>
        <xdr:cNvGrpSpPr/>
      </xdr:nvGrpSpPr>
      <xdr:grpSpPr>
        <a:xfrm>
          <a:off x="1145265" y="6402108"/>
          <a:ext cx="194536" cy="271596"/>
          <a:chOff x="831586" y="6064374"/>
          <a:chExt cx="194536" cy="271596"/>
        </a:xfrm>
      </xdr:grpSpPr>
      <xdr:sp macro="" textlink="">
        <xdr:nvSpPr>
          <xdr:cNvPr id="76" name="Овал 75">
            <a:extLst>
              <a:ext uri="{FF2B5EF4-FFF2-40B4-BE49-F238E27FC236}">
                <a16:creationId xmlns:a16="http://schemas.microsoft.com/office/drawing/2014/main" xmlns="" id="{00000000-0008-0000-0600-00004C000000}"/>
              </a:ext>
            </a:extLst>
          </xdr:cNvPr>
          <xdr:cNvSpPr/>
        </xdr:nvSpPr>
        <xdr:spPr>
          <a:xfrm>
            <a:off x="874025" y="6227970"/>
            <a:ext cx="108000" cy="10800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77" name="Прямая со стрелкой 76">
            <a:extLst>
              <a:ext uri="{FF2B5EF4-FFF2-40B4-BE49-F238E27FC236}">
                <a16:creationId xmlns:a16="http://schemas.microsoft.com/office/drawing/2014/main" xmlns="" id="{00000000-0008-0000-0600-00004D000000}"/>
              </a:ext>
            </a:extLst>
          </xdr:cNvPr>
          <xdr:cNvCxnSpPr/>
        </xdr:nvCxnSpPr>
        <xdr:spPr>
          <a:xfrm flipH="1">
            <a:off x="831586" y="6127876"/>
            <a:ext cx="194536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78" name="Прямая со стрелкой 77">
            <a:extLst>
              <a:ext uri="{FF2B5EF4-FFF2-40B4-BE49-F238E27FC236}">
                <a16:creationId xmlns:a16="http://schemas.microsoft.com/office/drawing/2014/main" xmlns="" id="{00000000-0008-0000-0600-00004E000000}"/>
              </a:ext>
            </a:extLst>
          </xdr:cNvPr>
          <xdr:cNvCxnSpPr/>
        </xdr:nvCxnSpPr>
        <xdr:spPr>
          <a:xfrm flipV="1">
            <a:off x="928267" y="6064374"/>
            <a:ext cx="0" cy="210261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252358</xdr:colOff>
      <xdr:row>20</xdr:row>
      <xdr:rowOff>70017</xdr:rowOff>
    </xdr:from>
    <xdr:to>
      <xdr:col>1</xdr:col>
      <xdr:colOff>54678</xdr:colOff>
      <xdr:row>20</xdr:row>
      <xdr:rowOff>276996</xdr:rowOff>
    </xdr:to>
    <xdr:grpSp>
      <xdr:nvGrpSpPr>
        <xdr:cNvPr id="90" name="Группа 89">
          <a:extLst>
            <a:ext uri="{FF2B5EF4-FFF2-40B4-BE49-F238E27FC236}">
              <a16:creationId xmlns:a16="http://schemas.microsoft.com/office/drawing/2014/main" xmlns="" id="{00000000-0008-0000-0600-00005A000000}"/>
            </a:ext>
          </a:extLst>
        </xdr:cNvPr>
        <xdr:cNvGrpSpPr/>
      </xdr:nvGrpSpPr>
      <xdr:grpSpPr>
        <a:xfrm>
          <a:off x="252358" y="6432717"/>
          <a:ext cx="411920" cy="206979"/>
          <a:chOff x="719729" y="5704458"/>
          <a:chExt cx="411920" cy="206979"/>
        </a:xfrm>
      </xdr:grpSpPr>
      <xdr:sp macro="" textlink="">
        <xdr:nvSpPr>
          <xdr:cNvPr id="80" name="Прямоугольник 79">
            <a:extLst>
              <a:ext uri="{FF2B5EF4-FFF2-40B4-BE49-F238E27FC236}">
                <a16:creationId xmlns:a16="http://schemas.microsoft.com/office/drawing/2014/main" xmlns="" id="{00000000-0008-0000-0600-000050000000}"/>
              </a:ext>
            </a:extLst>
          </xdr:cNvPr>
          <xdr:cNvSpPr/>
        </xdr:nvSpPr>
        <xdr:spPr>
          <a:xfrm>
            <a:off x="719729" y="5706922"/>
            <a:ext cx="411920" cy="204515"/>
          </a:xfrm>
          <a:prstGeom prst="rect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0"/>
          <a:lstStyle/>
          <a:p>
            <a:pPr algn="ctr"/>
            <a:endParaRPr lang="ru-RU" sz="1100" b="1">
              <a:solidFill>
                <a:sysClr val="windowText" lastClr="000000"/>
              </a:solidFill>
            </a:endParaRPr>
          </a:p>
        </xdr:txBody>
      </xdr:sp>
      <xdr:cxnSp macro="">
        <xdr:nvCxnSpPr>
          <xdr:cNvPr id="81" name="Прямая со стрелкой 80">
            <a:extLst>
              <a:ext uri="{FF2B5EF4-FFF2-40B4-BE49-F238E27FC236}">
                <a16:creationId xmlns:a16="http://schemas.microsoft.com/office/drawing/2014/main" xmlns="" id="{00000000-0008-0000-0600-000051000000}"/>
              </a:ext>
            </a:extLst>
          </xdr:cNvPr>
          <xdr:cNvCxnSpPr/>
        </xdr:nvCxnSpPr>
        <xdr:spPr>
          <a:xfrm flipH="1" flipV="1">
            <a:off x="726052" y="5704458"/>
            <a:ext cx="401038" cy="203727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82" name="Прямая со стрелкой 81">
            <a:extLst>
              <a:ext uri="{FF2B5EF4-FFF2-40B4-BE49-F238E27FC236}">
                <a16:creationId xmlns:a16="http://schemas.microsoft.com/office/drawing/2014/main" xmlns="" id="{00000000-0008-0000-0600-000052000000}"/>
              </a:ext>
            </a:extLst>
          </xdr:cNvPr>
          <xdr:cNvCxnSpPr/>
        </xdr:nvCxnSpPr>
        <xdr:spPr>
          <a:xfrm flipH="1">
            <a:off x="729142" y="5704973"/>
            <a:ext cx="401038" cy="203727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266700</xdr:colOff>
      <xdr:row>10</xdr:row>
      <xdr:rowOff>155652</xdr:rowOff>
    </xdr:from>
    <xdr:to>
      <xdr:col>1</xdr:col>
      <xdr:colOff>338700</xdr:colOff>
      <xdr:row>10</xdr:row>
      <xdr:rowOff>227652</xdr:rowOff>
    </xdr:to>
    <xdr:sp macro="" textlink="">
      <xdr:nvSpPr>
        <xdr:cNvPr id="83" name="5-конечная звезда 82">
          <a:extLst>
            <a:ext uri="{FF2B5EF4-FFF2-40B4-BE49-F238E27FC236}">
              <a16:creationId xmlns:a16="http://schemas.microsoft.com/office/drawing/2014/main" xmlns="" id="{00000000-0008-0000-0600-000053000000}"/>
            </a:ext>
          </a:extLst>
        </xdr:cNvPr>
        <xdr:cNvSpPr/>
      </xdr:nvSpPr>
      <xdr:spPr>
        <a:xfrm>
          <a:off x="876300" y="23091852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313764</xdr:colOff>
      <xdr:row>0</xdr:row>
      <xdr:rowOff>145677</xdr:rowOff>
    </xdr:from>
    <xdr:to>
      <xdr:col>2</xdr:col>
      <xdr:colOff>264537</xdr:colOff>
      <xdr:row>2</xdr:row>
      <xdr:rowOff>121151</xdr:rowOff>
    </xdr:to>
    <xdr:pic>
      <xdr:nvPicPr>
        <xdr:cNvPr id="407" name="Рисунок 40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764" y="145677"/>
          <a:ext cx="914479" cy="423709"/>
        </a:xfrm>
        <a:prstGeom prst="rect">
          <a:avLst/>
        </a:prstGeom>
      </xdr:spPr>
    </xdr:pic>
    <xdr:clientData/>
  </xdr:twoCellAnchor>
  <xdr:twoCellAnchor>
    <xdr:from>
      <xdr:col>3</xdr:col>
      <xdr:colOff>145675</xdr:colOff>
      <xdr:row>5</xdr:row>
      <xdr:rowOff>135271</xdr:rowOff>
    </xdr:from>
    <xdr:to>
      <xdr:col>5</xdr:col>
      <xdr:colOff>1020768</xdr:colOff>
      <xdr:row>5</xdr:row>
      <xdr:rowOff>506506</xdr:rowOff>
    </xdr:to>
    <xdr:sp macro="" textlink="">
      <xdr:nvSpPr>
        <xdr:cNvPr id="385" name="TextBox 384"/>
        <xdr:cNvSpPr txBox="1"/>
      </xdr:nvSpPr>
      <xdr:spPr>
        <a:xfrm>
          <a:off x="1692087" y="2555742"/>
          <a:ext cx="3833446" cy="3712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600" b="1"/>
            <a:t>просп.</a:t>
          </a:r>
          <a:r>
            <a:rPr lang="ru-RU" sz="1600" b="1" baseline="0"/>
            <a:t> Гагарина</a:t>
          </a:r>
          <a:endParaRPr lang="ru-RU" sz="1600" b="1"/>
        </a:p>
      </xdr:txBody>
    </xdr:sp>
    <xdr:clientData/>
  </xdr:twoCellAnchor>
  <xdr:twoCellAnchor>
    <xdr:from>
      <xdr:col>3</xdr:col>
      <xdr:colOff>1177776</xdr:colOff>
      <xdr:row>5</xdr:row>
      <xdr:rowOff>1086688</xdr:rowOff>
    </xdr:from>
    <xdr:to>
      <xdr:col>3</xdr:col>
      <xdr:colOff>1329866</xdr:colOff>
      <xdr:row>5</xdr:row>
      <xdr:rowOff>1230569</xdr:rowOff>
    </xdr:to>
    <xdr:sp macro="" textlink="">
      <xdr:nvSpPr>
        <xdr:cNvPr id="408" name="Овал 407">
          <a:extLst>
            <a:ext uri="{FF2B5EF4-FFF2-40B4-BE49-F238E27FC236}">
              <a16:creationId xmlns:a16="http://schemas.microsoft.com/office/drawing/2014/main" xmlns="" id="{00000000-0008-0000-0900-00003A020000}"/>
            </a:ext>
          </a:extLst>
        </xdr:cNvPr>
        <xdr:cNvSpPr/>
      </xdr:nvSpPr>
      <xdr:spPr>
        <a:xfrm>
          <a:off x="2724188" y="3507159"/>
          <a:ext cx="152090" cy="143881"/>
        </a:xfrm>
        <a:prstGeom prst="ellipse">
          <a:avLst/>
        </a:prstGeom>
        <a:solidFill>
          <a:schemeClr val="tx1"/>
        </a:solidFill>
        <a:ln w="349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134469</xdr:colOff>
      <xdr:row>5</xdr:row>
      <xdr:rowOff>983316</xdr:rowOff>
    </xdr:from>
    <xdr:to>
      <xdr:col>3</xdr:col>
      <xdr:colOff>1042145</xdr:colOff>
      <xdr:row>5</xdr:row>
      <xdr:rowOff>2892701</xdr:rowOff>
    </xdr:to>
    <xdr:sp macro="" textlink="">
      <xdr:nvSpPr>
        <xdr:cNvPr id="409" name="Полилиния 408"/>
        <xdr:cNvSpPr/>
      </xdr:nvSpPr>
      <xdr:spPr>
        <a:xfrm>
          <a:off x="1680881" y="3403787"/>
          <a:ext cx="907676" cy="1909385"/>
        </a:xfrm>
        <a:custGeom>
          <a:avLst/>
          <a:gdLst>
            <a:gd name="connsiteX0" fmla="*/ 0 w 1288676"/>
            <a:gd name="connsiteY0" fmla="*/ 0 h 1445559"/>
            <a:gd name="connsiteX1" fmla="*/ 1288676 w 1288676"/>
            <a:gd name="connsiteY1" fmla="*/ 22412 h 1445559"/>
            <a:gd name="connsiteX2" fmla="*/ 1288676 w 1288676"/>
            <a:gd name="connsiteY2" fmla="*/ 1445559 h 1445559"/>
            <a:gd name="connsiteX0" fmla="*/ 0 w 1288676"/>
            <a:gd name="connsiteY0" fmla="*/ 0 h 1909385"/>
            <a:gd name="connsiteX1" fmla="*/ 1288676 w 1288676"/>
            <a:gd name="connsiteY1" fmla="*/ 22412 h 1909385"/>
            <a:gd name="connsiteX2" fmla="*/ 1288676 w 1288676"/>
            <a:gd name="connsiteY2" fmla="*/ 1909385 h 190938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88676" h="1909385">
              <a:moveTo>
                <a:pt x="0" y="0"/>
              </a:moveTo>
              <a:lnTo>
                <a:pt x="1288676" y="22412"/>
              </a:lnTo>
              <a:lnTo>
                <a:pt x="1288676" y="1909385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1492967</xdr:colOff>
      <xdr:row>5</xdr:row>
      <xdr:rowOff>994523</xdr:rowOff>
    </xdr:from>
    <xdr:to>
      <xdr:col>4</xdr:col>
      <xdr:colOff>932673</xdr:colOff>
      <xdr:row>5</xdr:row>
      <xdr:rowOff>2423029</xdr:rowOff>
    </xdr:to>
    <xdr:sp macro="" textlink="">
      <xdr:nvSpPr>
        <xdr:cNvPr id="410" name="Полилиния 409"/>
        <xdr:cNvSpPr/>
      </xdr:nvSpPr>
      <xdr:spPr>
        <a:xfrm>
          <a:off x="3039379" y="3414994"/>
          <a:ext cx="1019735" cy="1428506"/>
        </a:xfrm>
        <a:custGeom>
          <a:avLst/>
          <a:gdLst>
            <a:gd name="connsiteX0" fmla="*/ 560294 w 1019735"/>
            <a:gd name="connsiteY0" fmla="*/ 1423147 h 1423147"/>
            <a:gd name="connsiteX1" fmla="*/ 560294 w 1019735"/>
            <a:gd name="connsiteY1" fmla="*/ 593912 h 1423147"/>
            <a:gd name="connsiteX2" fmla="*/ 0 w 1019735"/>
            <a:gd name="connsiteY2" fmla="*/ 593912 h 1423147"/>
            <a:gd name="connsiteX3" fmla="*/ 0 w 1019735"/>
            <a:gd name="connsiteY3" fmla="*/ 0 h 1423147"/>
            <a:gd name="connsiteX4" fmla="*/ 1019735 w 1019735"/>
            <a:gd name="connsiteY4" fmla="*/ 0 h 1423147"/>
            <a:gd name="connsiteX5" fmla="*/ 1019735 w 1019735"/>
            <a:gd name="connsiteY5" fmla="*/ 605117 h 1423147"/>
            <a:gd name="connsiteX6" fmla="*/ 952500 w 1019735"/>
            <a:gd name="connsiteY6" fmla="*/ 605117 h 1423147"/>
            <a:gd name="connsiteX7" fmla="*/ 952500 w 1019735"/>
            <a:gd name="connsiteY7" fmla="*/ 1411941 h 1423147"/>
            <a:gd name="connsiteX0" fmla="*/ 560294 w 1019735"/>
            <a:gd name="connsiteY0" fmla="*/ 1423147 h 1423147"/>
            <a:gd name="connsiteX1" fmla="*/ 560294 w 1019735"/>
            <a:gd name="connsiteY1" fmla="*/ 593912 h 1423147"/>
            <a:gd name="connsiteX2" fmla="*/ 0 w 1019735"/>
            <a:gd name="connsiteY2" fmla="*/ 593912 h 1423147"/>
            <a:gd name="connsiteX3" fmla="*/ 0 w 1019735"/>
            <a:gd name="connsiteY3" fmla="*/ 0 h 1423147"/>
            <a:gd name="connsiteX4" fmla="*/ 1019735 w 1019735"/>
            <a:gd name="connsiteY4" fmla="*/ 0 h 1423147"/>
            <a:gd name="connsiteX5" fmla="*/ 1019735 w 1019735"/>
            <a:gd name="connsiteY5" fmla="*/ 605117 h 1423147"/>
            <a:gd name="connsiteX6" fmla="*/ 952500 w 1019735"/>
            <a:gd name="connsiteY6" fmla="*/ 605117 h 1423147"/>
            <a:gd name="connsiteX7" fmla="*/ 952500 w 1019735"/>
            <a:gd name="connsiteY7" fmla="*/ 1411941 h 1423147"/>
            <a:gd name="connsiteX8" fmla="*/ 560294 w 1019735"/>
            <a:gd name="connsiteY8" fmla="*/ 1423147 h 1423147"/>
            <a:gd name="connsiteX0" fmla="*/ 560294 w 1019735"/>
            <a:gd name="connsiteY0" fmla="*/ 1423147 h 1428506"/>
            <a:gd name="connsiteX1" fmla="*/ 560294 w 1019735"/>
            <a:gd name="connsiteY1" fmla="*/ 593912 h 1428506"/>
            <a:gd name="connsiteX2" fmla="*/ 0 w 1019735"/>
            <a:gd name="connsiteY2" fmla="*/ 593912 h 1428506"/>
            <a:gd name="connsiteX3" fmla="*/ 0 w 1019735"/>
            <a:gd name="connsiteY3" fmla="*/ 0 h 1428506"/>
            <a:gd name="connsiteX4" fmla="*/ 1019735 w 1019735"/>
            <a:gd name="connsiteY4" fmla="*/ 0 h 1428506"/>
            <a:gd name="connsiteX5" fmla="*/ 1019735 w 1019735"/>
            <a:gd name="connsiteY5" fmla="*/ 605117 h 1428506"/>
            <a:gd name="connsiteX6" fmla="*/ 952500 w 1019735"/>
            <a:gd name="connsiteY6" fmla="*/ 605117 h 1428506"/>
            <a:gd name="connsiteX7" fmla="*/ 969065 w 1019735"/>
            <a:gd name="connsiteY7" fmla="*/ 1428506 h 1428506"/>
            <a:gd name="connsiteX8" fmla="*/ 560294 w 1019735"/>
            <a:gd name="connsiteY8" fmla="*/ 1423147 h 1428506"/>
            <a:gd name="connsiteX0" fmla="*/ 560294 w 1019735"/>
            <a:gd name="connsiteY0" fmla="*/ 1423147 h 1428506"/>
            <a:gd name="connsiteX1" fmla="*/ 560294 w 1019735"/>
            <a:gd name="connsiteY1" fmla="*/ 593912 h 1428506"/>
            <a:gd name="connsiteX2" fmla="*/ 0 w 1019735"/>
            <a:gd name="connsiteY2" fmla="*/ 593912 h 1428506"/>
            <a:gd name="connsiteX3" fmla="*/ 0 w 1019735"/>
            <a:gd name="connsiteY3" fmla="*/ 0 h 1428506"/>
            <a:gd name="connsiteX4" fmla="*/ 1019735 w 1019735"/>
            <a:gd name="connsiteY4" fmla="*/ 0 h 1428506"/>
            <a:gd name="connsiteX5" fmla="*/ 1019735 w 1019735"/>
            <a:gd name="connsiteY5" fmla="*/ 605117 h 1428506"/>
            <a:gd name="connsiteX6" fmla="*/ 952500 w 1019735"/>
            <a:gd name="connsiteY6" fmla="*/ 605117 h 1428506"/>
            <a:gd name="connsiteX7" fmla="*/ 960782 w 1019735"/>
            <a:gd name="connsiteY7" fmla="*/ 1428506 h 1428506"/>
            <a:gd name="connsiteX8" fmla="*/ 560294 w 1019735"/>
            <a:gd name="connsiteY8" fmla="*/ 1423147 h 14285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1019735" h="1428506">
              <a:moveTo>
                <a:pt x="560294" y="1423147"/>
              </a:moveTo>
              <a:lnTo>
                <a:pt x="560294" y="593912"/>
              </a:lnTo>
              <a:lnTo>
                <a:pt x="0" y="593912"/>
              </a:lnTo>
              <a:lnTo>
                <a:pt x="0" y="0"/>
              </a:lnTo>
              <a:lnTo>
                <a:pt x="1019735" y="0"/>
              </a:lnTo>
              <a:lnTo>
                <a:pt x="1019735" y="605117"/>
              </a:lnTo>
              <a:lnTo>
                <a:pt x="952500" y="605117"/>
              </a:lnTo>
              <a:cubicBezTo>
                <a:pt x="955261" y="879580"/>
                <a:pt x="958021" y="1154043"/>
                <a:pt x="960782" y="1428506"/>
              </a:cubicBezTo>
              <a:lnTo>
                <a:pt x="560294" y="1423147"/>
              </a:lnTo>
              <a:close/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1297726</xdr:colOff>
      <xdr:row>5</xdr:row>
      <xdr:rowOff>1005729</xdr:rowOff>
    </xdr:from>
    <xdr:to>
      <xdr:col>5</xdr:col>
      <xdr:colOff>1044300</xdr:colOff>
      <xdr:row>5</xdr:row>
      <xdr:rowOff>2917063</xdr:rowOff>
    </xdr:to>
    <xdr:sp macro="" textlink="">
      <xdr:nvSpPr>
        <xdr:cNvPr id="411" name="Полилиния 410"/>
        <xdr:cNvSpPr/>
      </xdr:nvSpPr>
      <xdr:spPr>
        <a:xfrm>
          <a:off x="4424167" y="3426200"/>
          <a:ext cx="1124898" cy="1911334"/>
        </a:xfrm>
        <a:custGeom>
          <a:avLst/>
          <a:gdLst>
            <a:gd name="connsiteX0" fmla="*/ 672353 w 1120588"/>
            <a:gd name="connsiteY0" fmla="*/ 1389529 h 1389529"/>
            <a:gd name="connsiteX1" fmla="*/ 504265 w 1120588"/>
            <a:gd name="connsiteY1" fmla="*/ 571500 h 1389529"/>
            <a:gd name="connsiteX2" fmla="*/ 0 w 1120588"/>
            <a:gd name="connsiteY2" fmla="*/ 571500 h 1389529"/>
            <a:gd name="connsiteX3" fmla="*/ 0 w 1120588"/>
            <a:gd name="connsiteY3" fmla="*/ 0 h 1389529"/>
            <a:gd name="connsiteX4" fmla="*/ 1120588 w 1120588"/>
            <a:gd name="connsiteY4" fmla="*/ 0 h 1389529"/>
            <a:gd name="connsiteX0" fmla="*/ 779191 w 1120588"/>
            <a:gd name="connsiteY0" fmla="*/ 1911334 h 1911334"/>
            <a:gd name="connsiteX1" fmla="*/ 504265 w 1120588"/>
            <a:gd name="connsiteY1" fmla="*/ 571500 h 1911334"/>
            <a:gd name="connsiteX2" fmla="*/ 0 w 1120588"/>
            <a:gd name="connsiteY2" fmla="*/ 571500 h 1911334"/>
            <a:gd name="connsiteX3" fmla="*/ 0 w 1120588"/>
            <a:gd name="connsiteY3" fmla="*/ 0 h 1911334"/>
            <a:gd name="connsiteX4" fmla="*/ 1120588 w 1120588"/>
            <a:gd name="connsiteY4" fmla="*/ 0 h 19113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120588" h="1911334">
              <a:moveTo>
                <a:pt x="779191" y="1911334"/>
              </a:moveTo>
              <a:lnTo>
                <a:pt x="504265" y="571500"/>
              </a:lnTo>
              <a:lnTo>
                <a:pt x="0" y="571500"/>
              </a:lnTo>
              <a:lnTo>
                <a:pt x="0" y="0"/>
              </a:lnTo>
              <a:lnTo>
                <a:pt x="1120588" y="0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134469</xdr:colOff>
      <xdr:row>5</xdr:row>
      <xdr:rowOff>77545</xdr:rowOff>
    </xdr:from>
    <xdr:to>
      <xdr:col>5</xdr:col>
      <xdr:colOff>1055506</xdr:colOff>
      <xdr:row>5</xdr:row>
      <xdr:rowOff>123264</xdr:rowOff>
    </xdr:to>
    <xdr:sp macro="" textlink="">
      <xdr:nvSpPr>
        <xdr:cNvPr id="412" name="Полилиния 411"/>
        <xdr:cNvSpPr/>
      </xdr:nvSpPr>
      <xdr:spPr>
        <a:xfrm>
          <a:off x="1680881" y="2498016"/>
          <a:ext cx="3879390" cy="45719"/>
        </a:xfrm>
        <a:custGeom>
          <a:avLst/>
          <a:gdLst>
            <a:gd name="connsiteX0" fmla="*/ 0 w 4247029"/>
            <a:gd name="connsiteY0" fmla="*/ 0 h 0"/>
            <a:gd name="connsiteX1" fmla="*/ 4247029 w 4247029"/>
            <a:gd name="connsiteY1" fmla="*/ 0 h 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247029">
              <a:moveTo>
                <a:pt x="0" y="0"/>
              </a:moveTo>
              <a:lnTo>
                <a:pt x="4247029" y="0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1331865</xdr:colOff>
      <xdr:row>5</xdr:row>
      <xdr:rowOff>1274579</xdr:rowOff>
    </xdr:from>
    <xdr:to>
      <xdr:col>3</xdr:col>
      <xdr:colOff>1331865</xdr:colOff>
      <xdr:row>5</xdr:row>
      <xdr:rowOff>1274579</xdr:rowOff>
    </xdr:to>
    <xdr:cxnSp macro="">
      <xdr:nvCxnSpPr>
        <xdr:cNvPr id="413" name="Прямая соединительная линия 412"/>
        <xdr:cNvCxnSpPr/>
      </xdr:nvCxnSpPr>
      <xdr:spPr>
        <a:xfrm>
          <a:off x="2878277" y="3695050"/>
          <a:ext cx="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1038770</xdr:colOff>
      <xdr:row>5</xdr:row>
      <xdr:rowOff>1139008</xdr:rowOff>
    </xdr:from>
    <xdr:to>
      <xdr:col>3</xdr:col>
      <xdr:colOff>1487562</xdr:colOff>
      <xdr:row>5</xdr:row>
      <xdr:rowOff>1199246</xdr:rowOff>
    </xdr:to>
    <xdr:grpSp>
      <xdr:nvGrpSpPr>
        <xdr:cNvPr id="414" name="Группа 413">
          <a:extLst>
            <a:ext uri="{FF2B5EF4-FFF2-40B4-BE49-F238E27FC236}">
              <a16:creationId xmlns:a16="http://schemas.microsoft.com/office/drawing/2014/main" xmlns="" id="{00000000-0008-0000-0600-000058000000}"/>
            </a:ext>
          </a:extLst>
        </xdr:cNvPr>
        <xdr:cNvGrpSpPr/>
      </xdr:nvGrpSpPr>
      <xdr:grpSpPr>
        <a:xfrm>
          <a:off x="2581820" y="3539308"/>
          <a:ext cx="448792" cy="60238"/>
          <a:chOff x="744834" y="5046016"/>
          <a:chExt cx="380479" cy="51379"/>
        </a:xfrm>
      </xdr:grpSpPr>
      <xdr:cxnSp macro="">
        <xdr:nvCxnSpPr>
          <xdr:cNvPr id="415" name="Прямая со стрелкой 414">
            <a:extLst>
              <a:ext uri="{FF2B5EF4-FFF2-40B4-BE49-F238E27FC236}">
                <a16:creationId xmlns:a16="http://schemas.microsoft.com/office/drawing/2014/main" xmlns="" id="{00000000-0008-0000-0600-00003E000000}"/>
              </a:ext>
            </a:extLst>
          </xdr:cNvPr>
          <xdr:cNvCxnSpPr/>
        </xdr:nvCxnSpPr>
        <xdr:spPr>
          <a:xfrm flipH="1">
            <a:off x="797770" y="5076837"/>
            <a:ext cx="116554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416" name="Овал 415">
            <a:extLst>
              <a:ext uri="{FF2B5EF4-FFF2-40B4-BE49-F238E27FC236}">
                <a16:creationId xmlns:a16="http://schemas.microsoft.com/office/drawing/2014/main" xmlns="" id="{00000000-0008-0000-0600-00003F000000}"/>
              </a:ext>
            </a:extLst>
          </xdr:cNvPr>
          <xdr:cNvSpPr/>
        </xdr:nvSpPr>
        <xdr:spPr>
          <a:xfrm>
            <a:off x="744834" y="5046016"/>
            <a:ext cx="46800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">
        <xdr:nvSpPr>
          <xdr:cNvPr id="417" name="Овал 416">
            <a:extLst>
              <a:ext uri="{FF2B5EF4-FFF2-40B4-BE49-F238E27FC236}">
                <a16:creationId xmlns:a16="http://schemas.microsoft.com/office/drawing/2014/main" xmlns="" id="{00000000-0008-0000-0600-000040000000}"/>
              </a:ext>
            </a:extLst>
          </xdr:cNvPr>
          <xdr:cNvSpPr/>
        </xdr:nvSpPr>
        <xdr:spPr>
          <a:xfrm>
            <a:off x="1078513" y="5046016"/>
            <a:ext cx="46800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418" name="Прямая со стрелкой 417">
            <a:extLst>
              <a:ext uri="{FF2B5EF4-FFF2-40B4-BE49-F238E27FC236}">
                <a16:creationId xmlns:a16="http://schemas.microsoft.com/office/drawing/2014/main" xmlns="" id="{00000000-0008-0000-0600-000041000000}"/>
              </a:ext>
            </a:extLst>
          </xdr:cNvPr>
          <xdr:cNvCxnSpPr/>
        </xdr:nvCxnSpPr>
        <xdr:spPr>
          <a:xfrm flipH="1">
            <a:off x="954671" y="5076837"/>
            <a:ext cx="119572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1181448</xdr:colOff>
      <xdr:row>5</xdr:row>
      <xdr:rowOff>1274579</xdr:rowOff>
    </xdr:from>
    <xdr:to>
      <xdr:col>4</xdr:col>
      <xdr:colOff>1181448</xdr:colOff>
      <xdr:row>5</xdr:row>
      <xdr:rowOff>1274579</xdr:rowOff>
    </xdr:to>
    <xdr:cxnSp macro="">
      <xdr:nvCxnSpPr>
        <xdr:cNvPr id="419" name="Прямая соединительная линия 418"/>
        <xdr:cNvCxnSpPr/>
      </xdr:nvCxnSpPr>
      <xdr:spPr>
        <a:xfrm>
          <a:off x="4307889" y="3695050"/>
          <a:ext cx="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925005</xdr:colOff>
      <xdr:row>5</xdr:row>
      <xdr:rowOff>1147866</xdr:rowOff>
    </xdr:from>
    <xdr:to>
      <xdr:col>4</xdr:col>
      <xdr:colOff>1311949</xdr:colOff>
      <xdr:row>5</xdr:row>
      <xdr:rowOff>1199245</xdr:rowOff>
    </xdr:to>
    <xdr:grpSp>
      <xdr:nvGrpSpPr>
        <xdr:cNvPr id="420" name="Группа 419">
          <a:extLst>
            <a:ext uri="{FF2B5EF4-FFF2-40B4-BE49-F238E27FC236}">
              <a16:creationId xmlns:a16="http://schemas.microsoft.com/office/drawing/2014/main" xmlns="" id="{00000000-0008-0000-0600-000058000000}"/>
            </a:ext>
          </a:extLst>
        </xdr:cNvPr>
        <xdr:cNvGrpSpPr/>
      </xdr:nvGrpSpPr>
      <xdr:grpSpPr>
        <a:xfrm>
          <a:off x="4049205" y="3548166"/>
          <a:ext cx="386944" cy="51379"/>
          <a:chOff x="744834" y="5046016"/>
          <a:chExt cx="380479" cy="51379"/>
        </a:xfrm>
      </xdr:grpSpPr>
      <xdr:cxnSp macro="">
        <xdr:nvCxnSpPr>
          <xdr:cNvPr id="421" name="Прямая со стрелкой 420">
            <a:extLst>
              <a:ext uri="{FF2B5EF4-FFF2-40B4-BE49-F238E27FC236}">
                <a16:creationId xmlns:a16="http://schemas.microsoft.com/office/drawing/2014/main" xmlns="" id="{00000000-0008-0000-0600-00003E000000}"/>
              </a:ext>
            </a:extLst>
          </xdr:cNvPr>
          <xdr:cNvCxnSpPr/>
        </xdr:nvCxnSpPr>
        <xdr:spPr>
          <a:xfrm flipH="1">
            <a:off x="797770" y="5076837"/>
            <a:ext cx="116554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422" name="Овал 421">
            <a:extLst>
              <a:ext uri="{FF2B5EF4-FFF2-40B4-BE49-F238E27FC236}">
                <a16:creationId xmlns:a16="http://schemas.microsoft.com/office/drawing/2014/main" xmlns="" id="{00000000-0008-0000-0600-00003F000000}"/>
              </a:ext>
            </a:extLst>
          </xdr:cNvPr>
          <xdr:cNvSpPr/>
        </xdr:nvSpPr>
        <xdr:spPr>
          <a:xfrm>
            <a:off x="744834" y="5046016"/>
            <a:ext cx="46800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">
        <xdr:nvSpPr>
          <xdr:cNvPr id="423" name="Овал 422">
            <a:extLst>
              <a:ext uri="{FF2B5EF4-FFF2-40B4-BE49-F238E27FC236}">
                <a16:creationId xmlns:a16="http://schemas.microsoft.com/office/drawing/2014/main" xmlns="" id="{00000000-0008-0000-0600-000040000000}"/>
              </a:ext>
            </a:extLst>
          </xdr:cNvPr>
          <xdr:cNvSpPr/>
        </xdr:nvSpPr>
        <xdr:spPr>
          <a:xfrm>
            <a:off x="1078513" y="5046016"/>
            <a:ext cx="46800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461" name="Прямая со стрелкой 460">
            <a:extLst>
              <a:ext uri="{FF2B5EF4-FFF2-40B4-BE49-F238E27FC236}">
                <a16:creationId xmlns:a16="http://schemas.microsoft.com/office/drawing/2014/main" xmlns="" id="{00000000-0008-0000-0600-000041000000}"/>
              </a:ext>
            </a:extLst>
          </xdr:cNvPr>
          <xdr:cNvCxnSpPr/>
        </xdr:nvCxnSpPr>
        <xdr:spPr>
          <a:xfrm flipH="1">
            <a:off x="954671" y="5076837"/>
            <a:ext cx="119572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1255060</xdr:colOff>
      <xdr:row>5</xdr:row>
      <xdr:rowOff>841538</xdr:rowOff>
    </xdr:from>
    <xdr:to>
      <xdr:col>5</xdr:col>
      <xdr:colOff>1028223</xdr:colOff>
      <xdr:row>5</xdr:row>
      <xdr:rowOff>1173048</xdr:rowOff>
    </xdr:to>
    <xdr:sp macro="" textlink="">
      <xdr:nvSpPr>
        <xdr:cNvPr id="462" name="Полилиния 461"/>
        <xdr:cNvSpPr/>
      </xdr:nvSpPr>
      <xdr:spPr>
        <a:xfrm>
          <a:off x="2801472" y="3262009"/>
          <a:ext cx="2731516" cy="331510"/>
        </a:xfrm>
        <a:custGeom>
          <a:avLst/>
          <a:gdLst>
            <a:gd name="connsiteX0" fmla="*/ 0 w 2724979"/>
            <a:gd name="connsiteY0" fmla="*/ 455543 h 455543"/>
            <a:gd name="connsiteX1" fmla="*/ 0 w 2724979"/>
            <a:gd name="connsiteY1" fmla="*/ 0 h 455543"/>
            <a:gd name="connsiteX2" fmla="*/ 2724979 w 2724979"/>
            <a:gd name="connsiteY2" fmla="*/ 0 h 45554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724979" h="455543">
              <a:moveTo>
                <a:pt x="0" y="455543"/>
              </a:moveTo>
              <a:lnTo>
                <a:pt x="0" y="0"/>
              </a:lnTo>
              <a:lnTo>
                <a:pt x="2724979" y="0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1280615</xdr:colOff>
      <xdr:row>5</xdr:row>
      <xdr:rowOff>2711751</xdr:rowOff>
    </xdr:from>
    <xdr:to>
      <xdr:col>5</xdr:col>
      <xdr:colOff>301610</xdr:colOff>
      <xdr:row>5</xdr:row>
      <xdr:rowOff>2931559</xdr:rowOff>
    </xdr:to>
    <xdr:sp macro="" textlink="">
      <xdr:nvSpPr>
        <xdr:cNvPr id="463" name="Прямоугольник 462"/>
        <xdr:cNvSpPr/>
      </xdr:nvSpPr>
      <xdr:spPr>
        <a:xfrm>
          <a:off x="2827027" y="5132222"/>
          <a:ext cx="1979348" cy="219808"/>
        </a:xfrm>
        <a:prstGeom prst="rect">
          <a:avLst/>
        </a:prstGeom>
        <a:solidFill>
          <a:srgbClr val="00B050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 b="1"/>
            <a:t>SKODA</a:t>
          </a:r>
          <a:endParaRPr lang="ru-RU" sz="1400" b="1"/>
        </a:p>
      </xdr:txBody>
    </xdr:sp>
    <xdr:clientData/>
  </xdr:twoCellAnchor>
  <xdr:twoCellAnchor editAs="oneCell">
    <xdr:from>
      <xdr:col>3</xdr:col>
      <xdr:colOff>1537790</xdr:colOff>
      <xdr:row>5</xdr:row>
      <xdr:rowOff>1668555</xdr:rowOff>
    </xdr:from>
    <xdr:to>
      <xdr:col>4</xdr:col>
      <xdr:colOff>407368</xdr:colOff>
      <xdr:row>5</xdr:row>
      <xdr:rowOff>2097180</xdr:rowOff>
    </xdr:to>
    <xdr:pic>
      <xdr:nvPicPr>
        <xdr:cNvPr id="467" name="Рисунок 466" descr="Картинки по запросу знак парковка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202" y="4089026"/>
          <a:ext cx="449607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1323500</xdr:colOff>
      <xdr:row>5</xdr:row>
      <xdr:rowOff>1668555</xdr:rowOff>
    </xdr:from>
    <xdr:to>
      <xdr:col>5</xdr:col>
      <xdr:colOff>394783</xdr:colOff>
      <xdr:row>5</xdr:row>
      <xdr:rowOff>2097180</xdr:rowOff>
    </xdr:to>
    <xdr:pic>
      <xdr:nvPicPr>
        <xdr:cNvPr id="468" name="Рисунок 467" descr="Картинки по запросу знак парковка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9941" y="4089026"/>
          <a:ext cx="449607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134469</xdr:colOff>
      <xdr:row>5</xdr:row>
      <xdr:rowOff>477595</xdr:rowOff>
    </xdr:from>
    <xdr:to>
      <xdr:col>5</xdr:col>
      <xdr:colOff>1055506</xdr:colOff>
      <xdr:row>5</xdr:row>
      <xdr:rowOff>523314</xdr:rowOff>
    </xdr:to>
    <xdr:sp macro="" textlink="">
      <xdr:nvSpPr>
        <xdr:cNvPr id="506" name="Полилиния 505"/>
        <xdr:cNvSpPr/>
      </xdr:nvSpPr>
      <xdr:spPr>
        <a:xfrm>
          <a:off x="1680881" y="2898066"/>
          <a:ext cx="3879390" cy="45719"/>
        </a:xfrm>
        <a:custGeom>
          <a:avLst/>
          <a:gdLst>
            <a:gd name="connsiteX0" fmla="*/ 0 w 4247029"/>
            <a:gd name="connsiteY0" fmla="*/ 0 h 0"/>
            <a:gd name="connsiteX1" fmla="*/ 4247029 w 4247029"/>
            <a:gd name="connsiteY1" fmla="*/ 0 h 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4247029">
              <a:moveTo>
                <a:pt x="0" y="0"/>
              </a:moveTo>
              <a:lnTo>
                <a:pt x="4247029" y="0"/>
              </a:lnTo>
            </a:path>
          </a:pathLst>
        </a:custGeom>
        <a:noFill/>
        <a:ln w="19050" cmpd="dbl">
          <a:solidFill>
            <a:schemeClr val="tx1"/>
          </a:solidFill>
          <a:prstDash val="solid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865877</xdr:colOff>
      <xdr:row>4</xdr:row>
      <xdr:rowOff>67235</xdr:rowOff>
    </xdr:from>
    <xdr:to>
      <xdr:col>3</xdr:col>
      <xdr:colOff>865877</xdr:colOff>
      <xdr:row>4</xdr:row>
      <xdr:rowOff>1356775</xdr:rowOff>
    </xdr:to>
    <xdr:cxnSp macro="">
      <xdr:nvCxnSpPr>
        <xdr:cNvPr id="513" name="Прямая со стрелкой 512">
          <a:extLst>
            <a:ext uri="{FF2B5EF4-FFF2-40B4-BE49-F238E27FC236}">
              <a16:creationId xmlns:a16="http://schemas.microsoft.com/office/drawing/2014/main" xmlns="" id="{00000000-0008-0000-0900-000033020000}"/>
            </a:ext>
          </a:extLst>
        </xdr:cNvPr>
        <xdr:cNvCxnSpPr/>
      </xdr:nvCxnSpPr>
      <xdr:spPr>
        <a:xfrm flipV="1">
          <a:off x="2412289" y="963706"/>
          <a:ext cx="0" cy="1289540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824884</xdr:colOff>
      <xdr:row>4</xdr:row>
      <xdr:rowOff>1339079</xdr:rowOff>
    </xdr:from>
    <xdr:to>
      <xdr:col>3</xdr:col>
      <xdr:colOff>896884</xdr:colOff>
      <xdr:row>4</xdr:row>
      <xdr:rowOff>1411079</xdr:rowOff>
    </xdr:to>
    <xdr:sp macro="" textlink="">
      <xdr:nvSpPr>
        <xdr:cNvPr id="517" name="Овал 516">
          <a:extLst>
            <a:ext uri="{FF2B5EF4-FFF2-40B4-BE49-F238E27FC236}">
              <a16:creationId xmlns:a16="http://schemas.microsoft.com/office/drawing/2014/main" xmlns="" id="{00000000-0008-0000-0900-000034020000}"/>
            </a:ext>
          </a:extLst>
        </xdr:cNvPr>
        <xdr:cNvSpPr/>
      </xdr:nvSpPr>
      <xdr:spPr>
        <a:xfrm>
          <a:off x="2371296" y="2235550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1028355</xdr:colOff>
      <xdr:row>4</xdr:row>
      <xdr:rowOff>717184</xdr:rowOff>
    </xdr:from>
    <xdr:to>
      <xdr:col>3</xdr:col>
      <xdr:colOff>1100355</xdr:colOff>
      <xdr:row>4</xdr:row>
      <xdr:rowOff>789184</xdr:rowOff>
    </xdr:to>
    <xdr:sp macro="" textlink="">
      <xdr:nvSpPr>
        <xdr:cNvPr id="518" name="5-конечная звезда 517">
          <a:extLst>
            <a:ext uri="{FF2B5EF4-FFF2-40B4-BE49-F238E27FC236}">
              <a16:creationId xmlns:a16="http://schemas.microsoft.com/office/drawing/2014/main" xmlns="" id="{00000000-0008-0000-0900-0000E5010000}"/>
            </a:ext>
          </a:extLst>
        </xdr:cNvPr>
        <xdr:cNvSpPr/>
      </xdr:nvSpPr>
      <xdr:spPr>
        <a:xfrm>
          <a:off x="2574767" y="1613655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616323</xdr:colOff>
      <xdr:row>4</xdr:row>
      <xdr:rowOff>724511</xdr:rowOff>
    </xdr:from>
    <xdr:to>
      <xdr:col>3</xdr:col>
      <xdr:colOff>688323</xdr:colOff>
      <xdr:row>4</xdr:row>
      <xdr:rowOff>796511</xdr:rowOff>
    </xdr:to>
    <xdr:sp macro="" textlink="">
      <xdr:nvSpPr>
        <xdr:cNvPr id="519" name="5-конечная звезда 518">
          <a:extLst>
            <a:ext uri="{FF2B5EF4-FFF2-40B4-BE49-F238E27FC236}">
              <a16:creationId xmlns:a16="http://schemas.microsoft.com/office/drawing/2014/main" xmlns="" id="{00000000-0008-0000-0900-000036020000}"/>
            </a:ext>
          </a:extLst>
        </xdr:cNvPr>
        <xdr:cNvSpPr/>
      </xdr:nvSpPr>
      <xdr:spPr>
        <a:xfrm>
          <a:off x="2162735" y="1620982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1247295</xdr:colOff>
      <xdr:row>4</xdr:row>
      <xdr:rowOff>751841</xdr:rowOff>
    </xdr:from>
    <xdr:to>
      <xdr:col>3</xdr:col>
      <xdr:colOff>1247295</xdr:colOff>
      <xdr:row>4</xdr:row>
      <xdr:rowOff>751841</xdr:rowOff>
    </xdr:to>
    <xdr:cxnSp macro="">
      <xdr:nvCxnSpPr>
        <xdr:cNvPr id="520" name="Прямая соединительная линия 519"/>
        <xdr:cNvCxnSpPr/>
      </xdr:nvCxnSpPr>
      <xdr:spPr>
        <a:xfrm>
          <a:off x="2793707" y="1648312"/>
          <a:ext cx="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537884</xdr:colOff>
      <xdr:row>5</xdr:row>
      <xdr:rowOff>168088</xdr:rowOff>
    </xdr:from>
    <xdr:to>
      <xdr:col>3</xdr:col>
      <xdr:colOff>986119</xdr:colOff>
      <xdr:row>5</xdr:row>
      <xdr:rowOff>885266</xdr:rowOff>
    </xdr:to>
    <xdr:sp macro="" textlink="">
      <xdr:nvSpPr>
        <xdr:cNvPr id="527" name="Прямоугольник 526"/>
        <xdr:cNvSpPr/>
      </xdr:nvSpPr>
      <xdr:spPr>
        <a:xfrm>
          <a:off x="918884" y="2588559"/>
          <a:ext cx="1613647" cy="717178"/>
        </a:xfrm>
        <a:prstGeom prst="rect">
          <a:avLst/>
        </a:prstGeom>
        <a:solidFill>
          <a:srgbClr val="FFFF0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>
              <a:solidFill>
                <a:sysClr val="windowText" lastClr="000000"/>
              </a:solidFill>
            </a:rPr>
            <a:t>СБРОС ОДОМЕТРА ПО ПЕРЕСЕЧЕНИЮ СТВОРА</a:t>
          </a:r>
          <a:r>
            <a:rPr lang="ru-RU" sz="1200" b="1" baseline="0">
              <a:solidFill>
                <a:sysClr val="windowText" lastClr="000000"/>
              </a:solidFill>
            </a:rPr>
            <a:t> ВОРОТ</a:t>
          </a:r>
        </a:p>
      </xdr:txBody>
    </xdr:sp>
    <xdr:clientData/>
  </xdr:twoCellAnchor>
  <xdr:twoCellAnchor editAs="oneCell">
    <xdr:from>
      <xdr:col>4</xdr:col>
      <xdr:colOff>1008529</xdr:colOff>
      <xdr:row>4</xdr:row>
      <xdr:rowOff>201706</xdr:rowOff>
    </xdr:from>
    <xdr:to>
      <xdr:col>5</xdr:col>
      <xdr:colOff>246661</xdr:colOff>
      <xdr:row>4</xdr:row>
      <xdr:rowOff>811359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4970" y="1098177"/>
          <a:ext cx="616456" cy="6096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 w="19050">
          <a:solidFill>
            <a:schemeClr val="tx1"/>
          </a:solidFill>
          <a:tailEnd type="none" w="med" len="lg"/>
        </a:ln>
      </a:spPr>
      <a:bodyPr vertOverflow="clip" horzOverflow="clip" rtlCol="0" anchor="t"/>
      <a:lstStyle>
        <a:defPPr algn="l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"/>
  <sheetViews>
    <sheetView view="pageBreakPreview" zoomScaleNormal="70" zoomScaleSheetLayoutView="100" zoomScalePageLayoutView="40" workbookViewId="0"/>
  </sheetViews>
  <sheetFormatPr defaultRowHeight="15" x14ac:dyDescent="0.25"/>
  <cols>
    <col min="1" max="1" width="5.7109375" style="12" customWidth="1"/>
    <col min="2" max="3" width="8.7109375" style="12" customWidth="1"/>
    <col min="4" max="4" width="23.7109375" style="12" customWidth="1"/>
    <col min="5" max="5" width="20.7109375" style="12" customWidth="1"/>
    <col min="6" max="6" width="16.7109375" style="12" customWidth="1"/>
    <col min="7" max="7" width="9.28515625" style="12" customWidth="1"/>
    <col min="8" max="9" width="9.140625" style="12"/>
    <col min="10" max="10" width="8" style="12" customWidth="1"/>
    <col min="11" max="16384" width="9.140625" style="12"/>
  </cols>
  <sheetData>
    <row r="1" spans="1:12" ht="24" customHeight="1" x14ac:dyDescent="0.25">
      <c r="A1" s="2" t="s">
        <v>235</v>
      </c>
      <c r="B1" s="3"/>
      <c r="C1" s="4"/>
      <c r="D1" s="390" t="s">
        <v>299</v>
      </c>
      <c r="E1" s="390"/>
      <c r="F1" s="391">
        <f>B22</f>
        <v>12.7</v>
      </c>
      <c r="G1" s="391"/>
    </row>
    <row r="2" spans="1:12" ht="24" customHeight="1" x14ac:dyDescent="0.25">
      <c r="A2" s="5"/>
      <c r="B2" s="6"/>
      <c r="C2" s="7"/>
      <c r="D2" s="390" t="s">
        <v>31</v>
      </c>
      <c r="E2" s="390"/>
      <c r="F2" s="392">
        <v>60</v>
      </c>
      <c r="G2" s="392"/>
    </row>
    <row r="3" spans="1:12" ht="24" x14ac:dyDescent="0.25">
      <c r="A3" s="1" t="s">
        <v>0</v>
      </c>
      <c r="B3" s="268" t="s">
        <v>301</v>
      </c>
      <c r="C3" s="267" t="s">
        <v>300</v>
      </c>
      <c r="D3" s="393" t="s">
        <v>3</v>
      </c>
      <c r="E3" s="394"/>
      <c r="F3" s="394"/>
      <c r="G3" s="395"/>
    </row>
    <row r="4" spans="1:12" ht="240" customHeight="1" x14ac:dyDescent="0.25">
      <c r="A4" s="8">
        <v>1</v>
      </c>
      <c r="B4" s="347">
        <v>0</v>
      </c>
      <c r="C4" s="348">
        <v>0</v>
      </c>
      <c r="D4" s="387"/>
      <c r="E4" s="388"/>
      <c r="F4" s="388"/>
      <c r="G4" s="389"/>
    </row>
    <row r="5" spans="1:12" ht="120" customHeight="1" x14ac:dyDescent="0.25">
      <c r="A5" s="8">
        <f>1+A4</f>
        <v>2</v>
      </c>
      <c r="B5" s="347">
        <v>1.4</v>
      </c>
      <c r="C5" s="348">
        <f t="shared" ref="C5:C22" si="0">B5-B4</f>
        <v>1.4</v>
      </c>
      <c r="D5" s="384"/>
      <c r="E5" s="385"/>
      <c r="F5" s="385"/>
      <c r="G5" s="386"/>
      <c r="I5"/>
    </row>
    <row r="6" spans="1:12" ht="120" customHeight="1" x14ac:dyDescent="0.25">
      <c r="A6" s="8">
        <f t="shared" ref="A6:A22" si="1">1+A5</f>
        <v>3</v>
      </c>
      <c r="B6" s="347">
        <v>1.7</v>
      </c>
      <c r="C6" s="348">
        <f t="shared" si="0"/>
        <v>0.30000000000000004</v>
      </c>
      <c r="D6" s="384"/>
      <c r="E6" s="385"/>
      <c r="F6" s="385"/>
      <c r="G6" s="386"/>
    </row>
    <row r="7" spans="1:12" ht="120" customHeight="1" x14ac:dyDescent="0.25">
      <c r="A7" s="8">
        <f t="shared" si="1"/>
        <v>4</v>
      </c>
      <c r="B7" s="347">
        <v>2.4</v>
      </c>
      <c r="C7" s="348">
        <f t="shared" si="0"/>
        <v>0.7</v>
      </c>
      <c r="D7" s="384"/>
      <c r="E7" s="385"/>
      <c r="F7" s="385"/>
      <c r="G7" s="386"/>
    </row>
    <row r="8" spans="1:12" ht="120" customHeight="1" x14ac:dyDescent="0.25">
      <c r="A8" s="8">
        <f t="shared" si="1"/>
        <v>5</v>
      </c>
      <c r="B8" s="347">
        <v>2.6</v>
      </c>
      <c r="C8" s="348">
        <f t="shared" si="0"/>
        <v>0.20000000000000018</v>
      </c>
      <c r="D8" s="384"/>
      <c r="E8" s="385"/>
      <c r="F8" s="385"/>
      <c r="G8" s="386"/>
    </row>
    <row r="9" spans="1:12" ht="120" customHeight="1" x14ac:dyDescent="0.25">
      <c r="A9" s="8">
        <f t="shared" si="1"/>
        <v>6</v>
      </c>
      <c r="B9" s="347">
        <v>3</v>
      </c>
      <c r="C9" s="348">
        <f t="shared" si="0"/>
        <v>0.39999999999999991</v>
      </c>
      <c r="D9" s="384"/>
      <c r="E9" s="385"/>
      <c r="F9" s="385"/>
      <c r="G9" s="386"/>
    </row>
    <row r="10" spans="1:12" ht="120" customHeight="1" x14ac:dyDescent="0.25">
      <c r="A10" s="8">
        <f t="shared" si="1"/>
        <v>7</v>
      </c>
      <c r="B10" s="347">
        <v>3.7</v>
      </c>
      <c r="C10" s="348">
        <f t="shared" si="0"/>
        <v>0.70000000000000018</v>
      </c>
      <c r="D10" s="384"/>
      <c r="E10" s="385"/>
      <c r="F10" s="385"/>
      <c r="G10" s="386"/>
    </row>
    <row r="11" spans="1:12" ht="240" customHeight="1" x14ac:dyDescent="0.25">
      <c r="A11" s="8">
        <f t="shared" si="1"/>
        <v>8</v>
      </c>
      <c r="B11" s="347">
        <v>4.8</v>
      </c>
      <c r="C11" s="348">
        <f t="shared" si="0"/>
        <v>1.0999999999999996</v>
      </c>
      <c r="D11" s="384"/>
      <c r="E11" s="385"/>
      <c r="F11" s="385"/>
      <c r="G11" s="386"/>
    </row>
    <row r="12" spans="1:12" ht="240" customHeight="1" x14ac:dyDescent="0.25">
      <c r="A12" s="8">
        <f t="shared" si="1"/>
        <v>9</v>
      </c>
      <c r="B12" s="347">
        <v>4.9000000000000004</v>
      </c>
      <c r="C12" s="348">
        <f t="shared" si="0"/>
        <v>0.10000000000000053</v>
      </c>
      <c r="D12" s="384"/>
      <c r="E12" s="385"/>
      <c r="F12" s="385"/>
      <c r="G12" s="386"/>
    </row>
    <row r="13" spans="1:12" ht="120" customHeight="1" x14ac:dyDescent="0.25">
      <c r="A13" s="8">
        <f t="shared" si="1"/>
        <v>10</v>
      </c>
      <c r="B13" s="347">
        <v>5.0999999999999996</v>
      </c>
      <c r="C13" s="348">
        <f t="shared" si="0"/>
        <v>0.19999999999999929</v>
      </c>
      <c r="D13" s="384"/>
      <c r="E13" s="385"/>
      <c r="F13" s="385"/>
      <c r="G13" s="386"/>
    </row>
    <row r="14" spans="1:12" ht="240" customHeight="1" x14ac:dyDescent="0.45">
      <c r="A14" s="8">
        <f t="shared" si="1"/>
        <v>11</v>
      </c>
      <c r="B14" s="347">
        <v>5.4</v>
      </c>
      <c r="C14" s="348">
        <f t="shared" si="0"/>
        <v>0.30000000000000071</v>
      </c>
      <c r="D14" s="384"/>
      <c r="E14" s="385"/>
      <c r="F14" s="385"/>
      <c r="G14" s="386"/>
      <c r="I14" s="47"/>
      <c r="L14" s="98"/>
    </row>
    <row r="15" spans="1:12" ht="240" customHeight="1" x14ac:dyDescent="0.25">
      <c r="A15" s="8">
        <f t="shared" si="1"/>
        <v>12</v>
      </c>
      <c r="B15" s="347">
        <v>5.5</v>
      </c>
      <c r="C15" s="348">
        <f t="shared" si="0"/>
        <v>9.9999999999999645E-2</v>
      </c>
      <c r="D15" s="384"/>
      <c r="E15" s="385"/>
      <c r="F15" s="385"/>
      <c r="G15" s="386"/>
      <c r="I15" s="47"/>
    </row>
    <row r="16" spans="1:12" ht="120" customHeight="1" x14ac:dyDescent="0.25">
      <c r="A16" s="8">
        <f t="shared" si="1"/>
        <v>13</v>
      </c>
      <c r="B16" s="347">
        <v>7.1</v>
      </c>
      <c r="C16" s="348">
        <f t="shared" si="0"/>
        <v>1.5999999999999996</v>
      </c>
      <c r="D16" s="384"/>
      <c r="E16" s="385"/>
      <c r="F16" s="385"/>
      <c r="G16" s="386"/>
      <c r="I16" s="47"/>
    </row>
    <row r="17" spans="1:9" ht="120" customHeight="1" x14ac:dyDescent="0.25">
      <c r="A17" s="8">
        <f t="shared" si="1"/>
        <v>14</v>
      </c>
      <c r="B17" s="347">
        <v>7.2</v>
      </c>
      <c r="C17" s="348">
        <f t="shared" si="0"/>
        <v>0.10000000000000053</v>
      </c>
      <c r="D17" s="384"/>
      <c r="E17" s="385"/>
      <c r="F17" s="385"/>
      <c r="G17" s="386"/>
      <c r="I17" s="47"/>
    </row>
    <row r="18" spans="1:9" ht="120" customHeight="1" x14ac:dyDescent="0.25">
      <c r="A18" s="8">
        <f t="shared" si="1"/>
        <v>15</v>
      </c>
      <c r="B18" s="347">
        <v>8.3000000000000007</v>
      </c>
      <c r="C18" s="348">
        <f t="shared" si="0"/>
        <v>1.1000000000000005</v>
      </c>
      <c r="D18" s="384"/>
      <c r="E18" s="385"/>
      <c r="F18" s="385"/>
      <c r="G18" s="386"/>
      <c r="I18" s="47"/>
    </row>
    <row r="19" spans="1:9" ht="120" customHeight="1" x14ac:dyDescent="0.25">
      <c r="A19" s="8">
        <f t="shared" si="1"/>
        <v>16</v>
      </c>
      <c r="B19" s="347">
        <v>9.6</v>
      </c>
      <c r="C19" s="348">
        <f t="shared" si="0"/>
        <v>1.2999999999999989</v>
      </c>
      <c r="D19" s="384"/>
      <c r="E19" s="385"/>
      <c r="F19" s="385"/>
      <c r="G19" s="386"/>
      <c r="I19" s="47"/>
    </row>
    <row r="20" spans="1:9" ht="120" customHeight="1" x14ac:dyDescent="0.25">
      <c r="A20" s="8">
        <f t="shared" si="1"/>
        <v>17</v>
      </c>
      <c r="B20" s="347">
        <v>10.8</v>
      </c>
      <c r="C20" s="348">
        <f t="shared" si="0"/>
        <v>1.2000000000000011</v>
      </c>
      <c r="D20" s="384"/>
      <c r="E20" s="385"/>
      <c r="F20" s="385"/>
      <c r="G20" s="386"/>
      <c r="I20" s="47"/>
    </row>
    <row r="21" spans="1:9" ht="120" customHeight="1" x14ac:dyDescent="0.25">
      <c r="A21" s="8">
        <f t="shared" si="1"/>
        <v>18</v>
      </c>
      <c r="B21" s="347">
        <v>11.8</v>
      </c>
      <c r="C21" s="348">
        <f t="shared" si="0"/>
        <v>1</v>
      </c>
      <c r="D21" s="384"/>
      <c r="E21" s="385"/>
      <c r="F21" s="385"/>
      <c r="G21" s="386"/>
      <c r="I21" s="47"/>
    </row>
    <row r="22" spans="1:9" ht="120" customHeight="1" x14ac:dyDescent="0.25">
      <c r="A22" s="8">
        <f t="shared" si="1"/>
        <v>19</v>
      </c>
      <c r="B22" s="347">
        <v>12.7</v>
      </c>
      <c r="C22" s="348">
        <f t="shared" si="0"/>
        <v>0.89999999999999858</v>
      </c>
      <c r="D22" s="384"/>
      <c r="E22" s="385"/>
      <c r="F22" s="385"/>
      <c r="G22" s="386"/>
      <c r="I22" s="47"/>
    </row>
  </sheetData>
  <mergeCells count="24">
    <mergeCell ref="D22:G22"/>
    <mergeCell ref="D13:G13"/>
    <mergeCell ref="D16:G16"/>
    <mergeCell ref="D1:E1"/>
    <mergeCell ref="D2:E2"/>
    <mergeCell ref="F1:G1"/>
    <mergeCell ref="F2:G2"/>
    <mergeCell ref="D17:G17"/>
    <mergeCell ref="D18:G18"/>
    <mergeCell ref="D19:G19"/>
    <mergeCell ref="D20:G20"/>
    <mergeCell ref="D21:G21"/>
    <mergeCell ref="D3:G3"/>
    <mergeCell ref="D5:G5"/>
    <mergeCell ref="D6:G6"/>
    <mergeCell ref="D11:G11"/>
    <mergeCell ref="D12:G12"/>
    <mergeCell ref="D14:G14"/>
    <mergeCell ref="D15:G15"/>
    <mergeCell ref="D4:G4"/>
    <mergeCell ref="D7:G7"/>
    <mergeCell ref="D8:G8"/>
    <mergeCell ref="D9:G9"/>
    <mergeCell ref="D10:G10"/>
  </mergeCells>
  <pageMargins left="0.39370078740157483" right="0.39370078740157483" top="0.39370078740157483" bottom="0.39370078740157483" header="0" footer="0.39370078740157483"/>
  <pageSetup paperSize="9" orientation="portrait" r:id="rId1"/>
  <headerFooter>
    <oddFooter>Страница  &amp;P из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8"/>
  <sheetViews>
    <sheetView view="pageBreakPreview" zoomScale="115" zoomScaleNormal="70" zoomScaleSheetLayoutView="115" workbookViewId="0"/>
  </sheetViews>
  <sheetFormatPr defaultRowHeight="15" x14ac:dyDescent="0.25"/>
  <cols>
    <col min="1" max="1" width="18.7109375" style="12" customWidth="1"/>
    <col min="2" max="2" width="1.7109375" style="12" customWidth="1"/>
    <col min="3" max="16" width="5.28515625" style="12" customWidth="1"/>
    <col min="17" max="247" width="9.140625" style="12"/>
    <col min="248" max="248" width="30.7109375" style="12" customWidth="1"/>
    <col min="249" max="249" width="9.140625" style="12" customWidth="1"/>
    <col min="250" max="503" width="9.140625" style="12"/>
    <col min="504" max="504" width="30.7109375" style="12" customWidth="1"/>
    <col min="505" max="505" width="9.140625" style="12" customWidth="1"/>
    <col min="506" max="759" width="9.140625" style="12"/>
    <col min="760" max="760" width="30.7109375" style="12" customWidth="1"/>
    <col min="761" max="761" width="9.140625" style="12" customWidth="1"/>
    <col min="762" max="1015" width="9.140625" style="12"/>
    <col min="1016" max="1016" width="30.7109375" style="12" customWidth="1"/>
    <col min="1017" max="1017" width="9.140625" style="12" customWidth="1"/>
    <col min="1018" max="1271" width="9.140625" style="12"/>
    <col min="1272" max="1272" width="30.7109375" style="12" customWidth="1"/>
    <col min="1273" max="1273" width="9.140625" style="12" customWidth="1"/>
    <col min="1274" max="1527" width="9.140625" style="12"/>
    <col min="1528" max="1528" width="30.7109375" style="12" customWidth="1"/>
    <col min="1529" max="1529" width="9.140625" style="12" customWidth="1"/>
    <col min="1530" max="1783" width="9.140625" style="12"/>
    <col min="1784" max="1784" width="30.7109375" style="12" customWidth="1"/>
    <col min="1785" max="1785" width="9.140625" style="12" customWidth="1"/>
    <col min="1786" max="2039" width="9.140625" style="12"/>
    <col min="2040" max="2040" width="30.7109375" style="12" customWidth="1"/>
    <col min="2041" max="2041" width="9.140625" style="12" customWidth="1"/>
    <col min="2042" max="2295" width="9.140625" style="12"/>
    <col min="2296" max="2296" width="30.7109375" style="12" customWidth="1"/>
    <col min="2297" max="2297" width="9.140625" style="12" customWidth="1"/>
    <col min="2298" max="2551" width="9.140625" style="12"/>
    <col min="2552" max="2552" width="30.7109375" style="12" customWidth="1"/>
    <col min="2553" max="2553" width="9.140625" style="12" customWidth="1"/>
    <col min="2554" max="2807" width="9.140625" style="12"/>
    <col min="2808" max="2808" width="30.7109375" style="12" customWidth="1"/>
    <col min="2809" max="2809" width="9.140625" style="12" customWidth="1"/>
    <col min="2810" max="3063" width="9.140625" style="12"/>
    <col min="3064" max="3064" width="30.7109375" style="12" customWidth="1"/>
    <col min="3065" max="3065" width="9.140625" style="12" customWidth="1"/>
    <col min="3066" max="3319" width="9.140625" style="12"/>
    <col min="3320" max="3320" width="30.7109375" style="12" customWidth="1"/>
    <col min="3321" max="3321" width="9.140625" style="12" customWidth="1"/>
    <col min="3322" max="3575" width="9.140625" style="12"/>
    <col min="3576" max="3576" width="30.7109375" style="12" customWidth="1"/>
    <col min="3577" max="3577" width="9.140625" style="12" customWidth="1"/>
    <col min="3578" max="3831" width="9.140625" style="12"/>
    <col min="3832" max="3832" width="30.7109375" style="12" customWidth="1"/>
    <col min="3833" max="3833" width="9.140625" style="12" customWidth="1"/>
    <col min="3834" max="4087" width="9.140625" style="12"/>
    <col min="4088" max="4088" width="30.7109375" style="12" customWidth="1"/>
    <col min="4089" max="4089" width="9.140625" style="12" customWidth="1"/>
    <col min="4090" max="4343" width="9.140625" style="12"/>
    <col min="4344" max="4344" width="30.7109375" style="12" customWidth="1"/>
    <col min="4345" max="4345" width="9.140625" style="12" customWidth="1"/>
    <col min="4346" max="4599" width="9.140625" style="12"/>
    <col min="4600" max="4600" width="30.7109375" style="12" customWidth="1"/>
    <col min="4601" max="4601" width="9.140625" style="12" customWidth="1"/>
    <col min="4602" max="4855" width="9.140625" style="12"/>
    <col min="4856" max="4856" width="30.7109375" style="12" customWidth="1"/>
    <col min="4857" max="4857" width="9.140625" style="12" customWidth="1"/>
    <col min="4858" max="5111" width="9.140625" style="12"/>
    <col min="5112" max="5112" width="30.7109375" style="12" customWidth="1"/>
    <col min="5113" max="5113" width="9.140625" style="12" customWidth="1"/>
    <col min="5114" max="5367" width="9.140625" style="12"/>
    <col min="5368" max="5368" width="30.7109375" style="12" customWidth="1"/>
    <col min="5369" max="5369" width="9.140625" style="12" customWidth="1"/>
    <col min="5370" max="5623" width="9.140625" style="12"/>
    <col min="5624" max="5624" width="30.7109375" style="12" customWidth="1"/>
    <col min="5625" max="5625" width="9.140625" style="12" customWidth="1"/>
    <col min="5626" max="5879" width="9.140625" style="12"/>
    <col min="5880" max="5880" width="30.7109375" style="12" customWidth="1"/>
    <col min="5881" max="5881" width="9.140625" style="12" customWidth="1"/>
    <col min="5882" max="6135" width="9.140625" style="12"/>
    <col min="6136" max="6136" width="30.7109375" style="12" customWidth="1"/>
    <col min="6137" max="6137" width="9.140625" style="12" customWidth="1"/>
    <col min="6138" max="6391" width="9.140625" style="12"/>
    <col min="6392" max="6392" width="30.7109375" style="12" customWidth="1"/>
    <col min="6393" max="6393" width="9.140625" style="12" customWidth="1"/>
    <col min="6394" max="6647" width="9.140625" style="12"/>
    <col min="6648" max="6648" width="30.7109375" style="12" customWidth="1"/>
    <col min="6649" max="6649" width="9.140625" style="12" customWidth="1"/>
    <col min="6650" max="6903" width="9.140625" style="12"/>
    <col min="6904" max="6904" width="30.7109375" style="12" customWidth="1"/>
    <col min="6905" max="6905" width="9.140625" style="12" customWidth="1"/>
    <col min="6906" max="7159" width="9.140625" style="12"/>
    <col min="7160" max="7160" width="30.7109375" style="12" customWidth="1"/>
    <col min="7161" max="7161" width="9.140625" style="12" customWidth="1"/>
    <col min="7162" max="7415" width="9.140625" style="12"/>
    <col min="7416" max="7416" width="30.7109375" style="12" customWidth="1"/>
    <col min="7417" max="7417" width="9.140625" style="12" customWidth="1"/>
    <col min="7418" max="7671" width="9.140625" style="12"/>
    <col min="7672" max="7672" width="30.7109375" style="12" customWidth="1"/>
    <col min="7673" max="7673" width="9.140625" style="12" customWidth="1"/>
    <col min="7674" max="7927" width="9.140625" style="12"/>
    <col min="7928" max="7928" width="30.7109375" style="12" customWidth="1"/>
    <col min="7929" max="7929" width="9.140625" style="12" customWidth="1"/>
    <col min="7930" max="8183" width="9.140625" style="12"/>
    <col min="8184" max="8184" width="30.7109375" style="12" customWidth="1"/>
    <col min="8185" max="8185" width="9.140625" style="12" customWidth="1"/>
    <col min="8186" max="8439" width="9.140625" style="12"/>
    <col min="8440" max="8440" width="30.7109375" style="12" customWidth="1"/>
    <col min="8441" max="8441" width="9.140625" style="12" customWidth="1"/>
    <col min="8442" max="8695" width="9.140625" style="12"/>
    <col min="8696" max="8696" width="30.7109375" style="12" customWidth="1"/>
    <col min="8697" max="8697" width="9.140625" style="12" customWidth="1"/>
    <col min="8698" max="8951" width="9.140625" style="12"/>
    <col min="8952" max="8952" width="30.7109375" style="12" customWidth="1"/>
    <col min="8953" max="8953" width="9.140625" style="12" customWidth="1"/>
    <col min="8954" max="9207" width="9.140625" style="12"/>
    <col min="9208" max="9208" width="30.7109375" style="12" customWidth="1"/>
    <col min="9209" max="9209" width="9.140625" style="12" customWidth="1"/>
    <col min="9210" max="9463" width="9.140625" style="12"/>
    <col min="9464" max="9464" width="30.7109375" style="12" customWidth="1"/>
    <col min="9465" max="9465" width="9.140625" style="12" customWidth="1"/>
    <col min="9466" max="9719" width="9.140625" style="12"/>
    <col min="9720" max="9720" width="30.7109375" style="12" customWidth="1"/>
    <col min="9721" max="9721" width="9.140625" style="12" customWidth="1"/>
    <col min="9722" max="9975" width="9.140625" style="12"/>
    <col min="9976" max="9976" width="30.7109375" style="12" customWidth="1"/>
    <col min="9977" max="9977" width="9.140625" style="12" customWidth="1"/>
    <col min="9978" max="10231" width="9.140625" style="12"/>
    <col min="10232" max="10232" width="30.7109375" style="12" customWidth="1"/>
    <col min="10233" max="10233" width="9.140625" style="12" customWidth="1"/>
    <col min="10234" max="10487" width="9.140625" style="12"/>
    <col min="10488" max="10488" width="30.7109375" style="12" customWidth="1"/>
    <col min="10489" max="10489" width="9.140625" style="12" customWidth="1"/>
    <col min="10490" max="10743" width="9.140625" style="12"/>
    <col min="10744" max="10744" width="30.7109375" style="12" customWidth="1"/>
    <col min="10745" max="10745" width="9.140625" style="12" customWidth="1"/>
    <col min="10746" max="10999" width="9.140625" style="12"/>
    <col min="11000" max="11000" width="30.7109375" style="12" customWidth="1"/>
    <col min="11001" max="11001" width="9.140625" style="12" customWidth="1"/>
    <col min="11002" max="11255" width="9.140625" style="12"/>
    <col min="11256" max="11256" width="30.7109375" style="12" customWidth="1"/>
    <col min="11257" max="11257" width="9.140625" style="12" customWidth="1"/>
    <col min="11258" max="11511" width="9.140625" style="12"/>
    <col min="11512" max="11512" width="30.7109375" style="12" customWidth="1"/>
    <col min="11513" max="11513" width="9.140625" style="12" customWidth="1"/>
    <col min="11514" max="11767" width="9.140625" style="12"/>
    <col min="11768" max="11768" width="30.7109375" style="12" customWidth="1"/>
    <col min="11769" max="11769" width="9.140625" style="12" customWidth="1"/>
    <col min="11770" max="12023" width="9.140625" style="12"/>
    <col min="12024" max="12024" width="30.7109375" style="12" customWidth="1"/>
    <col min="12025" max="12025" width="9.140625" style="12" customWidth="1"/>
    <col min="12026" max="12279" width="9.140625" style="12"/>
    <col min="12280" max="12280" width="30.7109375" style="12" customWidth="1"/>
    <col min="12281" max="12281" width="9.140625" style="12" customWidth="1"/>
    <col min="12282" max="12535" width="9.140625" style="12"/>
    <col min="12536" max="12536" width="30.7109375" style="12" customWidth="1"/>
    <col min="12537" max="12537" width="9.140625" style="12" customWidth="1"/>
    <col min="12538" max="12791" width="9.140625" style="12"/>
    <col min="12792" max="12792" width="30.7109375" style="12" customWidth="1"/>
    <col min="12793" max="12793" width="9.140625" style="12" customWidth="1"/>
    <col min="12794" max="13047" width="9.140625" style="12"/>
    <col min="13048" max="13048" width="30.7109375" style="12" customWidth="1"/>
    <col min="13049" max="13049" width="9.140625" style="12" customWidth="1"/>
    <col min="13050" max="13303" width="9.140625" style="12"/>
    <col min="13304" max="13304" width="30.7109375" style="12" customWidth="1"/>
    <col min="13305" max="13305" width="9.140625" style="12" customWidth="1"/>
    <col min="13306" max="13559" width="9.140625" style="12"/>
    <col min="13560" max="13560" width="30.7109375" style="12" customWidth="1"/>
    <col min="13561" max="13561" width="9.140625" style="12" customWidth="1"/>
    <col min="13562" max="13815" width="9.140625" style="12"/>
    <col min="13816" max="13816" width="30.7109375" style="12" customWidth="1"/>
    <col min="13817" max="13817" width="9.140625" style="12" customWidth="1"/>
    <col min="13818" max="14071" width="9.140625" style="12"/>
    <col min="14072" max="14072" width="30.7109375" style="12" customWidth="1"/>
    <col min="14073" max="14073" width="9.140625" style="12" customWidth="1"/>
    <col min="14074" max="14327" width="9.140625" style="12"/>
    <col min="14328" max="14328" width="30.7109375" style="12" customWidth="1"/>
    <col min="14329" max="14329" width="9.140625" style="12" customWidth="1"/>
    <col min="14330" max="14583" width="9.140625" style="12"/>
    <col min="14584" max="14584" width="30.7109375" style="12" customWidth="1"/>
    <col min="14585" max="14585" width="9.140625" style="12" customWidth="1"/>
    <col min="14586" max="14839" width="9.140625" style="12"/>
    <col min="14840" max="14840" width="30.7109375" style="12" customWidth="1"/>
    <col min="14841" max="14841" width="9.140625" style="12" customWidth="1"/>
    <col min="14842" max="15095" width="9.140625" style="12"/>
    <col min="15096" max="15096" width="30.7109375" style="12" customWidth="1"/>
    <col min="15097" max="15097" width="9.140625" style="12" customWidth="1"/>
    <col min="15098" max="15351" width="9.140625" style="12"/>
    <col min="15352" max="15352" width="30.7109375" style="12" customWidth="1"/>
    <col min="15353" max="15353" width="9.140625" style="12" customWidth="1"/>
    <col min="15354" max="15607" width="9.140625" style="12"/>
    <col min="15608" max="15608" width="30.7109375" style="12" customWidth="1"/>
    <col min="15609" max="15609" width="9.140625" style="12" customWidth="1"/>
    <col min="15610" max="15863" width="9.140625" style="12"/>
    <col min="15864" max="15864" width="30.7109375" style="12" customWidth="1"/>
    <col min="15865" max="15865" width="9.140625" style="12" customWidth="1"/>
    <col min="15866" max="16119" width="9.140625" style="12"/>
    <col min="16120" max="16120" width="30.7109375" style="12" customWidth="1"/>
    <col min="16121" max="16121" width="9.140625" style="12" customWidth="1"/>
    <col min="16122" max="16384" width="9.140625" style="12"/>
  </cols>
  <sheetData>
    <row r="1" spans="1:16" ht="21" customHeight="1" x14ac:dyDescent="0.25">
      <c r="A1" s="43"/>
      <c r="B1" s="35"/>
      <c r="C1" s="416" t="str">
        <f>НазваниеПолное</f>
        <v>Ралли "Skoda Rally Weekend - 2017"</v>
      </c>
      <c r="D1" s="416"/>
      <c r="E1" s="416"/>
      <c r="F1" s="416"/>
      <c r="G1" s="416"/>
      <c r="H1" s="416"/>
      <c r="I1" s="416"/>
      <c r="J1" s="416"/>
      <c r="K1" s="416"/>
      <c r="L1" s="416"/>
      <c r="M1" s="454"/>
      <c r="N1" s="448"/>
      <c r="O1" s="449"/>
      <c r="P1" s="450"/>
    </row>
    <row r="2" spans="1:16" ht="21" customHeight="1" thickBot="1" x14ac:dyDescent="0.3">
      <c r="A2" s="43"/>
      <c r="B2" s="35"/>
      <c r="C2" s="416" t="s">
        <v>161</v>
      </c>
      <c r="D2" s="416"/>
      <c r="E2" s="416"/>
      <c r="F2" s="416"/>
      <c r="G2" s="416"/>
      <c r="H2" s="416"/>
      <c r="I2" s="416"/>
      <c r="J2" s="416"/>
      <c r="K2" s="416"/>
      <c r="L2" s="416"/>
      <c r="M2" s="454"/>
      <c r="N2" s="451"/>
      <c r="O2" s="452"/>
      <c r="P2" s="453"/>
    </row>
    <row r="3" spans="1:16" ht="5.0999999999999996" customHeight="1" x14ac:dyDescent="0.25">
      <c r="A3" s="32"/>
      <c r="B3" s="32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1:16" ht="21" customHeight="1" thickBot="1" x14ac:dyDescent="0.3">
      <c r="A4" s="79"/>
      <c r="B4" s="34"/>
      <c r="C4" s="455" t="s">
        <v>203</v>
      </c>
      <c r="D4" s="455"/>
      <c r="E4" s="455"/>
      <c r="F4" s="455"/>
      <c r="G4" s="455"/>
      <c r="H4" s="455"/>
      <c r="I4" s="455"/>
      <c r="J4" s="34"/>
      <c r="K4" s="42"/>
      <c r="L4" s="42"/>
      <c r="M4" s="34"/>
      <c r="N4" s="34"/>
      <c r="O4" s="34"/>
      <c r="P4" s="178"/>
    </row>
    <row r="5" spans="1:16" ht="21" customHeight="1" thickBot="1" x14ac:dyDescent="0.3">
      <c r="A5" s="79" t="str">
        <f>ТИ0</f>
        <v>ТИ-0</v>
      </c>
      <c r="B5" s="34"/>
      <c r="C5" s="458"/>
      <c r="D5" s="459"/>
      <c r="E5" s="459"/>
      <c r="F5" s="459"/>
      <c r="G5" s="459"/>
      <c r="H5" s="459"/>
      <c r="I5" s="460"/>
      <c r="J5" s="34"/>
      <c r="K5" s="34"/>
      <c r="L5" s="34"/>
      <c r="M5" s="34"/>
      <c r="N5" s="34"/>
      <c r="O5" s="34"/>
      <c r="P5" s="34"/>
    </row>
    <row r="6" spans="1:16" ht="21" customHeight="1" thickBot="1" x14ac:dyDescent="0.3">
      <c r="A6" s="79"/>
      <c r="B6" s="34"/>
      <c r="C6" s="457" t="s">
        <v>199</v>
      </c>
      <c r="D6" s="457"/>
      <c r="E6" s="457"/>
      <c r="F6" s="34"/>
      <c r="G6" s="455"/>
      <c r="H6" s="455"/>
      <c r="I6" s="455"/>
      <c r="J6" s="34"/>
      <c r="K6" s="42"/>
      <c r="L6" s="42"/>
      <c r="M6" s="34"/>
      <c r="N6" s="34"/>
      <c r="O6" s="34"/>
      <c r="P6" s="178"/>
    </row>
    <row r="7" spans="1:16" ht="21" customHeight="1" thickBot="1" x14ac:dyDescent="0.3">
      <c r="A7" s="79" t="str">
        <f>КВ0</f>
        <v>КВ-0 Старт Skoda</v>
      </c>
      <c r="B7" s="34"/>
      <c r="C7" s="458" t="s">
        <v>164</v>
      </c>
      <c r="D7" s="459"/>
      <c r="E7" s="199"/>
      <c r="F7" s="34"/>
      <c r="G7" s="34"/>
      <c r="H7" s="34"/>
      <c r="I7" s="34"/>
      <c r="J7" s="34"/>
      <c r="K7" s="42"/>
      <c r="L7" s="42"/>
      <c r="M7" s="465"/>
      <c r="N7" s="465"/>
      <c r="O7" s="465"/>
      <c r="P7" s="198"/>
    </row>
    <row r="8" spans="1:16" ht="21" customHeight="1" thickBot="1" x14ac:dyDescent="0.3">
      <c r="A8" s="79"/>
      <c r="B8" s="34"/>
      <c r="C8" s="461" t="s">
        <v>37</v>
      </c>
      <c r="D8" s="461"/>
      <c r="E8" s="461"/>
      <c r="F8" s="34"/>
      <c r="G8" s="34"/>
      <c r="H8" s="34"/>
      <c r="I8" s="34"/>
      <c r="J8" s="34"/>
      <c r="K8" s="461" t="s">
        <v>38</v>
      </c>
      <c r="L8" s="461"/>
      <c r="M8" s="461"/>
      <c r="N8" s="34"/>
      <c r="O8" s="34"/>
    </row>
    <row r="9" spans="1:16" ht="21" customHeight="1" thickBot="1" x14ac:dyDescent="0.3">
      <c r="A9" s="79" t="str">
        <f>ДС1</f>
        <v>ДС-1 РД</v>
      </c>
      <c r="B9" s="34"/>
      <c r="C9" s="462" t="s">
        <v>166</v>
      </c>
      <c r="D9" s="463"/>
      <c r="E9" s="464"/>
      <c r="F9" s="34"/>
      <c r="G9" s="34"/>
      <c r="H9" s="34"/>
      <c r="I9" s="34"/>
      <c r="J9" s="34"/>
      <c r="K9" s="462" t="s">
        <v>166</v>
      </c>
      <c r="L9" s="463"/>
      <c r="M9" s="464"/>
      <c r="N9" s="34"/>
      <c r="O9" s="34"/>
      <c r="P9" s="200" t="str">
        <f>"+ "&amp;КВ1Время&amp;"'"</f>
        <v>+ 60'</v>
      </c>
    </row>
    <row r="10" spans="1:16" ht="21" customHeight="1" thickBot="1" x14ac:dyDescent="0.3">
      <c r="A10" s="79"/>
      <c r="B10" s="34"/>
      <c r="C10" s="456" t="s">
        <v>198</v>
      </c>
      <c r="D10" s="456"/>
      <c r="E10" s="456"/>
      <c r="F10" s="34"/>
      <c r="G10" s="42"/>
      <c r="H10" s="42"/>
      <c r="I10" s="42"/>
      <c r="J10" s="34"/>
      <c r="K10" s="34"/>
      <c r="L10" s="34"/>
      <c r="M10" s="34"/>
      <c r="N10" s="34"/>
      <c r="O10" s="34"/>
      <c r="P10" s="34"/>
    </row>
    <row r="11" spans="1:16" ht="21" customHeight="1" thickBot="1" x14ac:dyDescent="0.3">
      <c r="A11" s="233" t="str">
        <f>КВ1</f>
        <v>КВ-1 М1</v>
      </c>
      <c r="B11" s="34"/>
      <c r="C11" s="458" t="s">
        <v>164</v>
      </c>
      <c r="D11" s="459"/>
      <c r="E11" s="199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</row>
    <row r="12" spans="1:16" ht="21" customHeight="1" thickBot="1" x14ac:dyDescent="0.3">
      <c r="A12" s="234" t="s">
        <v>305</v>
      </c>
      <c r="B12" s="34"/>
      <c r="C12" s="461" t="s">
        <v>37</v>
      </c>
      <c r="D12" s="461"/>
      <c r="E12" s="461"/>
      <c r="F12" s="34"/>
      <c r="G12" s="88"/>
      <c r="H12" s="88"/>
      <c r="I12" s="88"/>
      <c r="J12" s="34"/>
      <c r="K12" s="461" t="s">
        <v>38</v>
      </c>
      <c r="L12" s="461"/>
      <c r="M12" s="461"/>
    </row>
    <row r="13" spans="1:16" ht="21" customHeight="1" thickBot="1" x14ac:dyDescent="0.3">
      <c r="A13" s="235" t="str">
        <f>ДС2</f>
        <v>ДС-2 РУ</v>
      </c>
      <c r="B13" s="34"/>
      <c r="C13" s="458" t="s">
        <v>164</v>
      </c>
      <c r="D13" s="459"/>
      <c r="E13" s="199"/>
      <c r="F13" s="34"/>
      <c r="G13" s="88"/>
      <c r="H13" s="200"/>
      <c r="J13" s="34"/>
      <c r="K13" s="462" t="s">
        <v>166</v>
      </c>
      <c r="L13" s="463"/>
      <c r="M13" s="464"/>
      <c r="P13" s="200" t="str">
        <f>"+ "&amp;КВ2Время&amp;"'"</f>
        <v>+ 25'</v>
      </c>
    </row>
    <row r="14" spans="1:16" ht="21" customHeight="1" thickBot="1" x14ac:dyDescent="0.3">
      <c r="A14" s="79"/>
      <c r="B14" s="34"/>
      <c r="C14" s="455" t="s">
        <v>198</v>
      </c>
      <c r="D14" s="455"/>
      <c r="E14" s="455"/>
      <c r="F14" s="34"/>
      <c r="G14" s="88"/>
      <c r="H14" s="200"/>
      <c r="J14" s="34"/>
      <c r="K14" s="226"/>
      <c r="L14" s="226"/>
      <c r="M14" s="226"/>
      <c r="P14" s="200"/>
    </row>
    <row r="15" spans="1:16" ht="21" customHeight="1" thickBot="1" x14ac:dyDescent="0.3">
      <c r="A15" s="79" t="str">
        <f>КВ2</f>
        <v>КВ-2 Окружная</v>
      </c>
      <c r="B15" s="34"/>
      <c r="C15" s="458" t="s">
        <v>164</v>
      </c>
      <c r="D15" s="459"/>
      <c r="E15" s="199"/>
      <c r="F15" s="34"/>
      <c r="G15" s="88"/>
      <c r="H15" s="200"/>
      <c r="J15" s="34"/>
      <c r="K15" s="226"/>
      <c r="L15" s="226"/>
      <c r="M15" s="226"/>
      <c r="P15" s="200"/>
    </row>
    <row r="16" spans="1:16" ht="21" customHeight="1" thickBot="1" x14ac:dyDescent="0.3">
      <c r="A16" s="79"/>
      <c r="B16" s="34"/>
      <c r="C16" s="455" t="s">
        <v>198</v>
      </c>
      <c r="D16" s="455"/>
      <c r="E16" s="455"/>
      <c r="F16" s="34"/>
      <c r="G16" s="88"/>
      <c r="H16" s="88"/>
      <c r="I16" s="88"/>
      <c r="J16" s="34"/>
      <c r="K16" s="34"/>
      <c r="L16" s="34"/>
      <c r="M16" s="34"/>
      <c r="N16" s="34"/>
      <c r="O16" s="34"/>
      <c r="P16" s="200" t="str">
        <f>"+ "&amp;КВ3Время&amp;"'"</f>
        <v>+ 7'</v>
      </c>
    </row>
    <row r="17" spans="1:16" ht="21" customHeight="1" thickBot="1" x14ac:dyDescent="0.3">
      <c r="A17" s="233" t="str">
        <f>КВ3</f>
        <v>КВ-3 Родник</v>
      </c>
      <c r="B17" s="34"/>
      <c r="C17" s="458" t="s">
        <v>164</v>
      </c>
      <c r="D17" s="459"/>
      <c r="E17" s="199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</row>
    <row r="18" spans="1:16" ht="21" customHeight="1" thickBot="1" x14ac:dyDescent="0.3">
      <c r="A18" s="234" t="s">
        <v>305</v>
      </c>
      <c r="B18" s="34"/>
      <c r="C18" s="461" t="s">
        <v>37</v>
      </c>
      <c r="D18" s="461"/>
      <c r="E18" s="461"/>
      <c r="F18" s="34"/>
      <c r="G18" s="88"/>
      <c r="H18" s="88"/>
      <c r="I18" s="88"/>
      <c r="J18" s="34"/>
      <c r="K18" s="466" t="s">
        <v>38</v>
      </c>
      <c r="L18" s="466"/>
      <c r="M18" s="466"/>
    </row>
    <row r="19" spans="1:16" ht="21" customHeight="1" thickBot="1" x14ac:dyDescent="0.3">
      <c r="A19" s="235" t="str">
        <f>ДС3</f>
        <v>ДС-3 РД</v>
      </c>
      <c r="B19" s="34"/>
      <c r="C19" s="458" t="s">
        <v>164</v>
      </c>
      <c r="D19" s="459"/>
      <c r="E19" s="199"/>
      <c r="F19" s="34"/>
      <c r="G19" s="88"/>
      <c r="H19" s="200"/>
      <c r="J19" s="34"/>
      <c r="K19" s="462" t="s">
        <v>166</v>
      </c>
      <c r="L19" s="463"/>
      <c r="M19" s="464"/>
      <c r="P19" s="200" t="str">
        <f>"+ "&amp;КВ4Время&amp;"'"</f>
        <v>+ 70'</v>
      </c>
    </row>
    <row r="20" spans="1:16" ht="21" customHeight="1" thickBot="1" x14ac:dyDescent="0.3">
      <c r="A20" s="80"/>
      <c r="B20" s="34"/>
      <c r="C20" s="456" t="s">
        <v>198</v>
      </c>
      <c r="D20" s="456"/>
      <c r="E20" s="456"/>
      <c r="F20" s="34"/>
      <c r="G20" s="88"/>
      <c r="H20" s="88"/>
      <c r="I20" s="88"/>
      <c r="J20" s="34"/>
      <c r="K20" s="34"/>
      <c r="L20" s="34"/>
      <c r="P20" s="34"/>
    </row>
    <row r="21" spans="1:16" ht="21" customHeight="1" thickBot="1" x14ac:dyDescent="0.3">
      <c r="A21" s="79" t="str">
        <f>КВ4</f>
        <v>КВ-4 Финиш Skoda</v>
      </c>
      <c r="B21" s="34"/>
      <c r="C21" s="458" t="s">
        <v>164</v>
      </c>
      <c r="D21" s="459"/>
      <c r="E21" s="199"/>
      <c r="F21" s="34"/>
      <c r="G21" s="44"/>
      <c r="H21" s="44"/>
      <c r="I21" s="44"/>
      <c r="J21" s="34"/>
      <c r="K21" s="34"/>
      <c r="L21" s="34"/>
      <c r="P21" s="120"/>
    </row>
    <row r="22" spans="1:16" ht="21" customHeight="1" thickBot="1" x14ac:dyDescent="0.3">
      <c r="A22" s="79"/>
      <c r="B22" s="34"/>
      <c r="C22" s="456" t="s">
        <v>273</v>
      </c>
      <c r="D22" s="456"/>
      <c r="E22" s="456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42"/>
    </row>
    <row r="23" spans="1:16" ht="21" customHeight="1" thickBot="1" x14ac:dyDescent="0.3">
      <c r="A23" s="79" t="str">
        <f>ДС4</f>
        <v>ДС-4 СЛ</v>
      </c>
      <c r="B23" s="34"/>
      <c r="C23" s="462" t="s">
        <v>285</v>
      </c>
      <c r="D23" s="463"/>
      <c r="E23" s="46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42"/>
    </row>
    <row r="24" spans="1:16" ht="5.0999999999999996" customHeight="1" x14ac:dyDescent="0.25">
      <c r="A24" s="31"/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</row>
    <row r="25" spans="1:16" ht="21" customHeight="1" thickBot="1" x14ac:dyDescent="0.3">
      <c r="A25" s="79"/>
      <c r="B25" s="34"/>
      <c r="C25" s="457" t="s">
        <v>198</v>
      </c>
      <c r="D25" s="457"/>
      <c r="E25" s="457"/>
      <c r="F25" s="34"/>
      <c r="G25" s="33"/>
      <c r="H25" s="33"/>
      <c r="I25" s="33"/>
      <c r="J25" s="34"/>
      <c r="K25" s="34"/>
      <c r="L25" s="34"/>
      <c r="M25" s="34"/>
      <c r="N25" s="34"/>
      <c r="O25" s="34"/>
      <c r="P25" s="34"/>
    </row>
    <row r="26" spans="1:16" ht="21" customHeight="1" thickBot="1" x14ac:dyDescent="0.3">
      <c r="A26" s="79" t="str">
        <f>ВКВ1</f>
        <v>ВКВ-1</v>
      </c>
      <c r="B26" s="34"/>
      <c r="C26" s="458" t="s">
        <v>164</v>
      </c>
      <c r="D26" s="459"/>
      <c r="E26" s="199"/>
      <c r="F26" s="34"/>
      <c r="G26" s="33"/>
      <c r="H26" s="33"/>
      <c r="I26" s="33"/>
      <c r="J26" s="34"/>
      <c r="K26" s="34"/>
      <c r="L26" s="34"/>
      <c r="M26" s="34"/>
      <c r="N26" s="34"/>
      <c r="O26" s="34"/>
      <c r="P26" s="34"/>
    </row>
    <row r="27" spans="1:16" ht="21" customHeight="1" thickBot="1" x14ac:dyDescent="0.3">
      <c r="A27" s="79"/>
      <c r="B27" s="34"/>
      <c r="C27" s="456" t="s">
        <v>198</v>
      </c>
      <c r="D27" s="456"/>
      <c r="E27" s="456"/>
      <c r="F27" s="34"/>
      <c r="G27" s="33"/>
      <c r="H27" s="33"/>
      <c r="I27" s="33"/>
      <c r="J27" s="34"/>
      <c r="K27" s="34"/>
      <c r="L27" s="34"/>
      <c r="M27" s="34"/>
      <c r="N27" s="34"/>
      <c r="O27" s="34"/>
      <c r="P27" s="34"/>
    </row>
    <row r="28" spans="1:16" ht="21" customHeight="1" thickBot="1" x14ac:dyDescent="0.3">
      <c r="A28" s="79" t="str">
        <f>ВКВ2</f>
        <v>ВКВ-2</v>
      </c>
      <c r="B28" s="34"/>
      <c r="C28" s="458" t="s">
        <v>164</v>
      </c>
      <c r="D28" s="459"/>
      <c r="E28" s="199"/>
      <c r="F28" s="34"/>
      <c r="G28" s="33"/>
      <c r="H28" s="33"/>
      <c r="I28" s="33"/>
      <c r="J28" s="34"/>
      <c r="K28" s="34"/>
      <c r="L28" s="34"/>
      <c r="M28" s="34"/>
      <c r="N28" s="34"/>
      <c r="O28" s="34"/>
      <c r="P28" s="34"/>
    </row>
    <row r="29" spans="1:16" ht="5.0999999999999996" customHeight="1" x14ac:dyDescent="0.25">
      <c r="A29" s="31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</row>
    <row r="30" spans="1:16" ht="30" customHeight="1" x14ac:dyDescent="0.25">
      <c r="A30" s="80" t="s">
        <v>47</v>
      </c>
      <c r="B30" s="34"/>
      <c r="C30" s="201">
        <v>1</v>
      </c>
      <c r="D30" s="202">
        <f>1+C30</f>
        <v>2</v>
      </c>
      <c r="E30" s="202">
        <f t="shared" ref="E30:P30" si="0">1+D30</f>
        <v>3</v>
      </c>
      <c r="F30" s="202">
        <f t="shared" si="0"/>
        <v>4</v>
      </c>
      <c r="G30" s="202">
        <f t="shared" si="0"/>
        <v>5</v>
      </c>
      <c r="H30" s="202">
        <f t="shared" si="0"/>
        <v>6</v>
      </c>
      <c r="I30" s="202">
        <f t="shared" si="0"/>
        <v>7</v>
      </c>
      <c r="J30" s="202">
        <f t="shared" si="0"/>
        <v>8</v>
      </c>
      <c r="K30" s="202">
        <f t="shared" si="0"/>
        <v>9</v>
      </c>
      <c r="L30" s="202">
        <f t="shared" si="0"/>
        <v>10</v>
      </c>
      <c r="M30" s="202">
        <f t="shared" si="0"/>
        <v>11</v>
      </c>
      <c r="N30" s="202">
        <f t="shared" si="0"/>
        <v>12</v>
      </c>
      <c r="O30" s="202">
        <f t="shared" si="0"/>
        <v>13</v>
      </c>
      <c r="P30" s="203">
        <f t="shared" si="0"/>
        <v>14</v>
      </c>
    </row>
    <row r="31" spans="1:16" ht="30" customHeight="1" x14ac:dyDescent="0.25">
      <c r="A31" s="80"/>
      <c r="B31" s="34"/>
      <c r="C31" s="204">
        <f>1+P30</f>
        <v>15</v>
      </c>
      <c r="D31" s="205">
        <f t="shared" ref="D31:P31" si="1">1+C31</f>
        <v>16</v>
      </c>
      <c r="E31" s="205">
        <f t="shared" si="1"/>
        <v>17</v>
      </c>
      <c r="F31" s="205">
        <f t="shared" si="1"/>
        <v>18</v>
      </c>
      <c r="G31" s="205">
        <f t="shared" si="1"/>
        <v>19</v>
      </c>
      <c r="H31" s="205">
        <f t="shared" si="1"/>
        <v>20</v>
      </c>
      <c r="I31" s="205">
        <f t="shared" si="1"/>
        <v>21</v>
      </c>
      <c r="J31" s="205">
        <f t="shared" si="1"/>
        <v>22</v>
      </c>
      <c r="K31" s="205">
        <f t="shared" si="1"/>
        <v>23</v>
      </c>
      <c r="L31" s="205">
        <f t="shared" si="1"/>
        <v>24</v>
      </c>
      <c r="M31" s="205">
        <f t="shared" si="1"/>
        <v>25</v>
      </c>
      <c r="N31" s="205">
        <f t="shared" si="1"/>
        <v>26</v>
      </c>
      <c r="O31" s="205">
        <f t="shared" si="1"/>
        <v>27</v>
      </c>
      <c r="P31" s="206">
        <f t="shared" si="1"/>
        <v>28</v>
      </c>
    </row>
    <row r="32" spans="1:16" ht="15" customHeight="1" x14ac:dyDescent="0.25">
      <c r="A32" s="28"/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</row>
    <row r="33" spans="1:16" ht="15" customHeight="1" x14ac:dyDescent="0.25">
      <c r="A33" s="28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</row>
    <row r="34" spans="1:16" ht="15" customHeight="1" x14ac:dyDescent="0.25">
      <c r="A34" s="28"/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</row>
    <row r="35" spans="1:16" ht="15" customHeight="1" x14ac:dyDescent="0.25">
      <c r="A35" s="28"/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</row>
    <row r="36" spans="1:16" ht="15" customHeight="1" x14ac:dyDescent="0.25">
      <c r="A36" s="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</row>
    <row r="37" spans="1:16" ht="15" customHeight="1" x14ac:dyDescent="0.25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</row>
    <row r="38" spans="1:16" ht="15" customHeight="1" x14ac:dyDescent="0.25">
      <c r="A38" s="28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</row>
  </sheetData>
  <mergeCells count="35">
    <mergeCell ref="K13:M13"/>
    <mergeCell ref="K12:M12"/>
    <mergeCell ref="C8:E8"/>
    <mergeCell ref="C18:E18"/>
    <mergeCell ref="C20:E20"/>
    <mergeCell ref="C22:E22"/>
    <mergeCell ref="C25:E25"/>
    <mergeCell ref="C11:D11"/>
    <mergeCell ref="C17:D17"/>
    <mergeCell ref="C21:D21"/>
    <mergeCell ref="C16:E16"/>
    <mergeCell ref="C28:D28"/>
    <mergeCell ref="C7:D7"/>
    <mergeCell ref="C13:D13"/>
    <mergeCell ref="K8:M8"/>
    <mergeCell ref="K9:M9"/>
    <mergeCell ref="C9:E9"/>
    <mergeCell ref="C27:E27"/>
    <mergeCell ref="C12:E12"/>
    <mergeCell ref="C19:D19"/>
    <mergeCell ref="C14:E14"/>
    <mergeCell ref="C15:D15"/>
    <mergeCell ref="M7:O7"/>
    <mergeCell ref="K18:M18"/>
    <mergeCell ref="K19:M19"/>
    <mergeCell ref="C26:D26"/>
    <mergeCell ref="C23:E23"/>
    <mergeCell ref="N1:P2"/>
    <mergeCell ref="C1:M1"/>
    <mergeCell ref="C2:M2"/>
    <mergeCell ref="G6:I6"/>
    <mergeCell ref="C10:E10"/>
    <mergeCell ref="C6:E6"/>
    <mergeCell ref="C4:I4"/>
    <mergeCell ref="C5:I5"/>
  </mergeCells>
  <pageMargins left="0.39370078740157483" right="0.39370078740157483" top="0.39370078740157483" bottom="0.39370078740157483" header="0" footer="0"/>
  <pageSetup orientation="portrait" horizontalDpi="200" verticalDpi="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51"/>
  <sheetViews>
    <sheetView view="pageBreakPreview" zoomScaleNormal="55" zoomScaleSheetLayoutView="100" workbookViewId="0"/>
  </sheetViews>
  <sheetFormatPr defaultRowHeight="15" x14ac:dyDescent="0.25"/>
  <cols>
    <col min="1" max="9" width="9.140625" style="12"/>
    <col min="10" max="10" width="8" style="12" customWidth="1"/>
    <col min="11" max="16384" width="9.140625" style="12"/>
  </cols>
  <sheetData>
    <row r="2" spans="1:10" ht="23.25" x14ac:dyDescent="0.25">
      <c r="A2" s="467" t="str">
        <f>НазваниеПолное</f>
        <v>Ралли "Skoda Rally Weekend - 2017"</v>
      </c>
      <c r="B2" s="467"/>
      <c r="C2" s="467"/>
      <c r="D2" s="467"/>
      <c r="E2" s="467"/>
      <c r="F2" s="467"/>
      <c r="G2" s="467"/>
      <c r="H2" s="467"/>
      <c r="I2" s="467"/>
      <c r="J2" s="467"/>
    </row>
    <row r="3" spans="1:10" ht="23.25" x14ac:dyDescent="0.25">
      <c r="A3" s="467" t="s">
        <v>88</v>
      </c>
      <c r="B3" s="467"/>
      <c r="C3" s="467"/>
      <c r="D3" s="467"/>
      <c r="E3" s="467"/>
      <c r="F3" s="467"/>
      <c r="G3" s="467"/>
      <c r="H3" s="467"/>
      <c r="I3" s="467"/>
      <c r="J3" s="467"/>
    </row>
    <row r="4" spans="1:10" ht="23.25" x14ac:dyDescent="0.25">
      <c r="A4" s="468" t="s">
        <v>236</v>
      </c>
      <c r="B4" s="468"/>
      <c r="C4" s="468"/>
      <c r="D4" s="468"/>
      <c r="E4" s="468"/>
      <c r="F4" s="468"/>
      <c r="G4" s="468"/>
      <c r="H4" s="468"/>
      <c r="I4" s="468"/>
      <c r="J4" s="468"/>
    </row>
    <row r="50" spans="1:10" ht="18.75" x14ac:dyDescent="0.25">
      <c r="A50" s="469" t="str">
        <f>ДатаРалли</f>
        <v>16 декабря 2017</v>
      </c>
      <c r="B50" s="469"/>
      <c r="C50" s="469"/>
      <c r="D50" s="469"/>
      <c r="E50" s="469"/>
      <c r="F50" s="469"/>
      <c r="G50" s="469"/>
      <c r="H50" s="469"/>
      <c r="I50" s="469"/>
      <c r="J50" s="469"/>
    </row>
    <row r="51" spans="1:10" ht="18.75" x14ac:dyDescent="0.25">
      <c r="A51" s="470" t="s">
        <v>7</v>
      </c>
      <c r="B51" s="470"/>
      <c r="C51" s="470"/>
      <c r="D51" s="470"/>
      <c r="E51" s="470"/>
      <c r="F51" s="470"/>
      <c r="G51" s="470"/>
      <c r="H51" s="470"/>
      <c r="I51" s="470"/>
      <c r="J51" s="470"/>
    </row>
  </sheetData>
  <mergeCells count="5">
    <mergeCell ref="A3:J3"/>
    <mergeCell ref="A4:J4"/>
    <mergeCell ref="A50:J50"/>
    <mergeCell ref="A51:J51"/>
    <mergeCell ref="A2:J2"/>
  </mergeCells>
  <pageMargins left="0.39370078740157483" right="0.39370078740157483" top="0.39370078740157483" bottom="0.39370078740157483" header="0" footer="0.39370078740157483"/>
  <pageSetup paperSize="9" orientation="portrait" r:id="rId1"/>
  <headerFooter differentFirst="1">
    <oddFooter>Страница  &amp;P из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1"/>
  <sheetViews>
    <sheetView view="pageBreakPreview" zoomScaleNormal="55" zoomScaleSheetLayoutView="100" workbookViewId="0">
      <selection sqref="A1:J1"/>
    </sheetView>
  </sheetViews>
  <sheetFormatPr defaultRowHeight="15" x14ac:dyDescent="0.25"/>
  <cols>
    <col min="1" max="3" width="9.140625" style="12"/>
    <col min="4" max="9" width="9.85546875" style="12" customWidth="1"/>
    <col min="10" max="10" width="8" style="12" customWidth="1"/>
    <col min="11" max="16384" width="9.140625" style="12"/>
  </cols>
  <sheetData>
    <row r="1" spans="1:10" ht="18.75" x14ac:dyDescent="0.25">
      <c r="A1" s="473" t="s">
        <v>6</v>
      </c>
      <c r="B1" s="473"/>
      <c r="C1" s="473"/>
      <c r="D1" s="473"/>
      <c r="E1" s="473"/>
      <c r="F1" s="473"/>
      <c r="G1" s="473"/>
      <c r="H1" s="473"/>
      <c r="I1" s="473"/>
      <c r="J1" s="473"/>
    </row>
    <row r="2" spans="1:10" ht="18.75" x14ac:dyDescent="0.25">
      <c r="A2" s="473" t="s">
        <v>167</v>
      </c>
      <c r="B2" s="473"/>
      <c r="C2" s="473"/>
      <c r="D2" s="473"/>
      <c r="E2" s="473"/>
      <c r="F2" s="473"/>
      <c r="G2" s="473"/>
      <c r="H2" s="473"/>
      <c r="I2" s="473"/>
      <c r="J2" s="473"/>
    </row>
    <row r="3" spans="1:10" ht="3" customHeight="1" x14ac:dyDescent="0.25">
      <c r="A3" s="14"/>
      <c r="B3" s="14"/>
      <c r="C3" s="14"/>
      <c r="D3" s="14"/>
    </row>
    <row r="4" spans="1:10" ht="18.75" x14ac:dyDescent="0.25">
      <c r="A4" s="473" t="s">
        <v>188</v>
      </c>
      <c r="B4" s="473"/>
      <c r="C4" s="473"/>
      <c r="D4" s="473"/>
      <c r="E4" s="473"/>
      <c r="F4" s="473"/>
      <c r="G4" s="473"/>
      <c r="H4" s="473"/>
      <c r="I4" s="473"/>
      <c r="J4" s="473"/>
    </row>
    <row r="5" spans="1:10" ht="3" customHeight="1" x14ac:dyDescent="0.25">
      <c r="A5" s="14"/>
      <c r="B5" s="14"/>
      <c r="C5" s="14"/>
      <c r="D5" s="14"/>
    </row>
    <row r="6" spans="1:10" ht="18.75" x14ac:dyDescent="0.25">
      <c r="A6" s="473" t="s">
        <v>152</v>
      </c>
      <c r="B6" s="473"/>
      <c r="C6" s="473"/>
      <c r="D6" s="473"/>
      <c r="E6" s="473"/>
      <c r="F6" s="473"/>
      <c r="G6" s="473"/>
      <c r="H6" s="473"/>
      <c r="I6" s="473"/>
      <c r="J6" s="473"/>
    </row>
    <row r="7" spans="1:10" ht="30" customHeight="1" x14ac:dyDescent="0.25">
      <c r="A7" s="485"/>
      <c r="B7" s="486"/>
      <c r="C7" s="487"/>
      <c r="D7" s="474" t="s">
        <v>53</v>
      </c>
      <c r="E7" s="474"/>
      <c r="F7" s="474"/>
      <c r="G7" s="474"/>
      <c r="H7" s="474"/>
      <c r="I7" s="474"/>
      <c r="J7" s="474"/>
    </row>
    <row r="8" spans="1:10" ht="30" customHeight="1" x14ac:dyDescent="0.25">
      <c r="A8" s="476"/>
      <c r="B8" s="477"/>
      <c r="C8" s="478"/>
      <c r="D8" s="475" t="s">
        <v>54</v>
      </c>
      <c r="E8" s="475"/>
      <c r="F8" s="475"/>
      <c r="G8" s="475"/>
      <c r="H8" s="475"/>
      <c r="I8" s="475"/>
      <c r="J8" s="475"/>
    </row>
    <row r="9" spans="1:10" ht="30" customHeight="1" x14ac:dyDescent="0.25">
      <c r="A9" s="476"/>
      <c r="B9" s="477"/>
      <c r="C9" s="478"/>
      <c r="D9" s="475" t="s">
        <v>49</v>
      </c>
      <c r="E9" s="475"/>
      <c r="F9" s="475"/>
      <c r="G9" s="475"/>
      <c r="H9" s="475"/>
      <c r="I9" s="475"/>
      <c r="J9" s="475"/>
    </row>
    <row r="10" spans="1:10" ht="30" customHeight="1" x14ac:dyDescent="0.25">
      <c r="A10" s="476"/>
      <c r="B10" s="477"/>
      <c r="C10" s="478"/>
      <c r="D10" s="475" t="s">
        <v>86</v>
      </c>
      <c r="E10" s="475"/>
      <c r="F10" s="475"/>
      <c r="G10" s="475"/>
      <c r="H10" s="475"/>
      <c r="I10" s="475"/>
      <c r="J10" s="475"/>
    </row>
    <row r="11" spans="1:10" ht="30" customHeight="1" x14ac:dyDescent="0.25">
      <c r="A11" s="476"/>
      <c r="B11" s="477"/>
      <c r="C11" s="478"/>
      <c r="D11" s="471" t="s">
        <v>61</v>
      </c>
      <c r="E11" s="471"/>
      <c r="F11" s="471"/>
      <c r="G11" s="471"/>
      <c r="H11" s="471"/>
      <c r="I11" s="471"/>
      <c r="J11" s="471"/>
    </row>
    <row r="12" spans="1:10" ht="30" customHeight="1" x14ac:dyDescent="0.25">
      <c r="A12" s="488" t="s">
        <v>191</v>
      </c>
      <c r="B12" s="489"/>
      <c r="C12" s="490"/>
      <c r="D12" s="471" t="s">
        <v>192</v>
      </c>
      <c r="E12" s="471"/>
      <c r="F12" s="471"/>
      <c r="G12" s="471"/>
      <c r="H12" s="471"/>
      <c r="I12" s="471"/>
      <c r="J12" s="471"/>
    </row>
    <row r="13" spans="1:10" ht="30" customHeight="1" x14ac:dyDescent="0.25">
      <c r="A13" s="491" t="s">
        <v>195</v>
      </c>
      <c r="B13" s="492"/>
      <c r="C13" s="493"/>
      <c r="D13" s="482" t="s">
        <v>197</v>
      </c>
      <c r="E13" s="483"/>
      <c r="F13" s="483"/>
      <c r="G13" s="483"/>
      <c r="H13" s="483"/>
      <c r="I13" s="483"/>
      <c r="J13" s="484"/>
    </row>
    <row r="14" spans="1:10" ht="30" customHeight="1" x14ac:dyDescent="0.25">
      <c r="A14" s="476"/>
      <c r="B14" s="477"/>
      <c r="C14" s="478"/>
      <c r="D14" s="471" t="s">
        <v>48</v>
      </c>
      <c r="E14" s="471"/>
      <c r="F14" s="471"/>
      <c r="G14" s="471"/>
      <c r="H14" s="471"/>
      <c r="I14" s="471"/>
      <c r="J14" s="471"/>
    </row>
    <row r="15" spans="1:10" ht="30" customHeight="1" x14ac:dyDescent="0.25">
      <c r="A15" s="476"/>
      <c r="B15" s="477"/>
      <c r="C15" s="478"/>
      <c r="D15" s="471" t="s">
        <v>50</v>
      </c>
      <c r="E15" s="471"/>
      <c r="F15" s="471"/>
      <c r="G15" s="471"/>
      <c r="H15" s="471"/>
      <c r="I15" s="471"/>
      <c r="J15" s="471"/>
    </row>
    <row r="16" spans="1:10" ht="30" customHeight="1" x14ac:dyDescent="0.25">
      <c r="A16" s="476"/>
      <c r="B16" s="477"/>
      <c r="C16" s="478"/>
      <c r="D16" s="471" t="s">
        <v>51</v>
      </c>
      <c r="E16" s="471"/>
      <c r="F16" s="471"/>
      <c r="G16" s="471"/>
      <c r="H16" s="471"/>
      <c r="I16" s="471"/>
      <c r="J16" s="471"/>
    </row>
    <row r="17" spans="1:10" ht="30" customHeight="1" x14ac:dyDescent="0.25">
      <c r="A17" s="476"/>
      <c r="B17" s="477"/>
      <c r="C17" s="478"/>
      <c r="D17" s="471" t="s">
        <v>58</v>
      </c>
      <c r="E17" s="471"/>
      <c r="F17" s="471"/>
      <c r="G17" s="471"/>
      <c r="H17" s="471"/>
      <c r="I17" s="471"/>
      <c r="J17" s="471"/>
    </row>
    <row r="18" spans="1:10" ht="30" customHeight="1" x14ac:dyDescent="0.25">
      <c r="A18" s="476"/>
      <c r="B18" s="477"/>
      <c r="C18" s="478"/>
      <c r="D18" s="471" t="s">
        <v>87</v>
      </c>
      <c r="E18" s="471"/>
      <c r="F18" s="471"/>
      <c r="G18" s="471"/>
      <c r="H18" s="471"/>
      <c r="I18" s="471"/>
      <c r="J18" s="471"/>
    </row>
    <row r="19" spans="1:10" ht="30" customHeight="1" x14ac:dyDescent="0.25">
      <c r="A19" s="476"/>
      <c r="B19" s="477"/>
      <c r="C19" s="478"/>
      <c r="D19" s="471" t="s">
        <v>94</v>
      </c>
      <c r="E19" s="471"/>
      <c r="F19" s="471"/>
      <c r="G19" s="471"/>
      <c r="H19" s="471"/>
      <c r="I19" s="471"/>
      <c r="J19" s="471"/>
    </row>
    <row r="20" spans="1:10" ht="30" customHeight="1" x14ac:dyDescent="0.25">
      <c r="A20" s="476"/>
      <c r="B20" s="477"/>
      <c r="C20" s="478"/>
      <c r="D20" s="471" t="s">
        <v>95</v>
      </c>
      <c r="E20" s="471"/>
      <c r="F20" s="471"/>
      <c r="G20" s="471"/>
      <c r="H20" s="471"/>
      <c r="I20" s="471"/>
      <c r="J20" s="471"/>
    </row>
    <row r="21" spans="1:10" ht="30" customHeight="1" x14ac:dyDescent="0.25">
      <c r="A21" s="476"/>
      <c r="B21" s="477"/>
      <c r="C21" s="478"/>
      <c r="D21" s="471" t="s">
        <v>196</v>
      </c>
      <c r="E21" s="471"/>
      <c r="F21" s="471"/>
      <c r="G21" s="471"/>
      <c r="H21" s="471"/>
      <c r="I21" s="471"/>
      <c r="J21" s="471"/>
    </row>
    <row r="22" spans="1:10" ht="30" customHeight="1" x14ac:dyDescent="0.25">
      <c r="A22" s="479"/>
      <c r="B22" s="480"/>
      <c r="C22" s="481"/>
      <c r="D22" s="472" t="s">
        <v>90</v>
      </c>
      <c r="E22" s="472"/>
      <c r="F22" s="472"/>
      <c r="G22" s="472"/>
      <c r="H22" s="472"/>
      <c r="I22" s="472"/>
      <c r="J22" s="472"/>
    </row>
    <row r="23" spans="1:10" ht="3" customHeight="1" x14ac:dyDescent="0.25">
      <c r="A23" s="14"/>
      <c r="B23" s="14"/>
      <c r="C23" s="14"/>
      <c r="D23" s="14"/>
    </row>
    <row r="24" spans="1:10" ht="18.75" x14ac:dyDescent="0.25">
      <c r="A24" s="473" t="s">
        <v>52</v>
      </c>
      <c r="B24" s="473"/>
      <c r="C24" s="473"/>
      <c r="D24" s="473"/>
      <c r="E24" s="473"/>
      <c r="F24" s="473"/>
      <c r="G24" s="473"/>
      <c r="H24" s="473"/>
      <c r="I24" s="473"/>
      <c r="J24" s="473"/>
    </row>
    <row r="25" spans="1:10" ht="30" customHeight="1" x14ac:dyDescent="0.25">
      <c r="A25" s="485"/>
      <c r="B25" s="486"/>
      <c r="C25" s="487"/>
      <c r="D25" s="474" t="s">
        <v>55</v>
      </c>
      <c r="E25" s="474"/>
      <c r="F25" s="474"/>
      <c r="G25" s="474"/>
      <c r="H25" s="474"/>
      <c r="I25" s="474"/>
      <c r="J25" s="474"/>
    </row>
    <row r="26" spans="1:10" ht="30" customHeight="1" x14ac:dyDescent="0.25">
      <c r="A26" s="476"/>
      <c r="B26" s="477"/>
      <c r="C26" s="478"/>
      <c r="D26" s="475" t="s">
        <v>56</v>
      </c>
      <c r="E26" s="475"/>
      <c r="F26" s="475"/>
      <c r="G26" s="475"/>
      <c r="H26" s="475"/>
      <c r="I26" s="475"/>
      <c r="J26" s="475"/>
    </row>
    <row r="27" spans="1:10" ht="30" customHeight="1" x14ac:dyDescent="0.25">
      <c r="A27" s="476"/>
      <c r="B27" s="477"/>
      <c r="C27" s="478"/>
      <c r="D27" s="475" t="s">
        <v>59</v>
      </c>
      <c r="E27" s="475"/>
      <c r="F27" s="475"/>
      <c r="G27" s="475"/>
      <c r="H27" s="475"/>
      <c r="I27" s="475"/>
      <c r="J27" s="475"/>
    </row>
    <row r="28" spans="1:10" ht="30" customHeight="1" x14ac:dyDescent="0.25">
      <c r="A28" s="476"/>
      <c r="B28" s="477"/>
      <c r="C28" s="478"/>
      <c r="D28" s="475" t="s">
        <v>60</v>
      </c>
      <c r="E28" s="475"/>
      <c r="F28" s="475"/>
      <c r="G28" s="475"/>
      <c r="H28" s="475"/>
      <c r="I28" s="475"/>
      <c r="J28" s="475"/>
    </row>
    <row r="29" spans="1:10" ht="30" customHeight="1" x14ac:dyDescent="0.25">
      <c r="A29" s="476"/>
      <c r="B29" s="477"/>
      <c r="C29" s="478"/>
      <c r="D29" s="471" t="s">
        <v>89</v>
      </c>
      <c r="E29" s="471"/>
      <c r="F29" s="471"/>
      <c r="G29" s="471"/>
      <c r="H29" s="471"/>
      <c r="I29" s="471"/>
      <c r="J29" s="471"/>
    </row>
    <row r="30" spans="1:10" ht="30" customHeight="1" x14ac:dyDescent="0.25">
      <c r="A30" s="476"/>
      <c r="B30" s="477"/>
      <c r="C30" s="478"/>
      <c r="D30" s="471" t="s">
        <v>57</v>
      </c>
      <c r="E30" s="471"/>
      <c r="F30" s="471"/>
      <c r="G30" s="471"/>
      <c r="H30" s="471"/>
      <c r="I30" s="471"/>
      <c r="J30" s="471"/>
    </row>
    <row r="31" spans="1:10" ht="30" customHeight="1" x14ac:dyDescent="0.25">
      <c r="A31" s="479"/>
      <c r="B31" s="480"/>
      <c r="C31" s="481"/>
      <c r="D31" s="472" t="s">
        <v>234</v>
      </c>
      <c r="E31" s="472"/>
      <c r="F31" s="472"/>
      <c r="G31" s="472"/>
      <c r="H31" s="472"/>
      <c r="I31" s="472"/>
      <c r="J31" s="472"/>
    </row>
  </sheetData>
  <mergeCells count="51">
    <mergeCell ref="A19:C19"/>
    <mergeCell ref="A20:C20"/>
    <mergeCell ref="A21:C21"/>
    <mergeCell ref="A22:C22"/>
    <mergeCell ref="A25:C25"/>
    <mergeCell ref="A12:C12"/>
    <mergeCell ref="A13:C13"/>
    <mergeCell ref="A16:C16"/>
    <mergeCell ref="A17:C17"/>
    <mergeCell ref="A18:C18"/>
    <mergeCell ref="D21:J21"/>
    <mergeCell ref="D12:J12"/>
    <mergeCell ref="D13:J13"/>
    <mergeCell ref="D8:J8"/>
    <mergeCell ref="A1:J1"/>
    <mergeCell ref="A2:J2"/>
    <mergeCell ref="A4:J4"/>
    <mergeCell ref="A6:J6"/>
    <mergeCell ref="D7:J7"/>
    <mergeCell ref="A7:C7"/>
    <mergeCell ref="A8:C8"/>
    <mergeCell ref="A9:C9"/>
    <mergeCell ref="A10:C10"/>
    <mergeCell ref="A11:C11"/>
    <mergeCell ref="A14:C14"/>
    <mergeCell ref="A15:C15"/>
    <mergeCell ref="D16:J16"/>
    <mergeCell ref="D17:J17"/>
    <mergeCell ref="D18:J18"/>
    <mergeCell ref="D19:J19"/>
    <mergeCell ref="D20:J20"/>
    <mergeCell ref="D9:J9"/>
    <mergeCell ref="D10:J10"/>
    <mergeCell ref="D11:J11"/>
    <mergeCell ref="D14:J14"/>
    <mergeCell ref="D15:J15"/>
    <mergeCell ref="D29:J29"/>
    <mergeCell ref="D30:J30"/>
    <mergeCell ref="D31:J31"/>
    <mergeCell ref="D22:J22"/>
    <mergeCell ref="A24:J24"/>
    <mergeCell ref="D25:J25"/>
    <mergeCell ref="D26:J26"/>
    <mergeCell ref="D27:J27"/>
    <mergeCell ref="D28:J28"/>
    <mergeCell ref="A27:C27"/>
    <mergeCell ref="A28:C28"/>
    <mergeCell ref="A29:C29"/>
    <mergeCell ref="A30:C30"/>
    <mergeCell ref="A31:C31"/>
    <mergeCell ref="A26:C26"/>
  </mergeCells>
  <pageMargins left="0.39370078740157483" right="0.39370078740157483" top="0.39370078740157483" bottom="0.39370078740157483" header="0" footer="0.39370078740157483"/>
  <pageSetup paperSize="9" orientation="portrait" r:id="rId1"/>
  <headerFooter differentFirst="1">
    <oddFooter>Страница  &amp;P из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"/>
  <sheetViews>
    <sheetView view="pageBreakPreview" zoomScaleNormal="70" zoomScaleSheetLayoutView="100" zoomScalePageLayoutView="40" workbookViewId="0"/>
  </sheetViews>
  <sheetFormatPr defaultRowHeight="15" x14ac:dyDescent="0.25"/>
  <cols>
    <col min="1" max="1" width="5.7109375" style="12" customWidth="1"/>
    <col min="2" max="3" width="8.7109375" style="12" customWidth="1"/>
    <col min="4" max="4" width="23.7109375" style="12" customWidth="1"/>
    <col min="5" max="5" width="20.7109375" style="12" customWidth="1"/>
    <col min="6" max="6" width="16.7109375" style="12" customWidth="1"/>
    <col min="7" max="7" width="9.28515625" style="12" customWidth="1"/>
    <col min="8" max="9" width="9.140625" style="12"/>
    <col min="10" max="10" width="8" style="12" customWidth="1"/>
    <col min="11" max="16384" width="9.140625" style="12"/>
  </cols>
  <sheetData>
    <row r="1" spans="1:7" ht="17.45" customHeight="1" x14ac:dyDescent="0.25">
      <c r="A1" s="2" t="s">
        <v>235</v>
      </c>
      <c r="B1" s="3"/>
      <c r="C1" s="4"/>
      <c r="D1" s="496" t="str">
        <f>НазваниеКраткое</f>
        <v>Skoda Rally Weekend - 2017</v>
      </c>
      <c r="E1" s="497"/>
      <c r="F1" s="16" t="s">
        <v>8</v>
      </c>
      <c r="G1" s="17">
        <f>КВ1Расстояние</f>
        <v>38.92</v>
      </c>
    </row>
    <row r="2" spans="1:7" ht="17.45" customHeight="1" x14ac:dyDescent="0.25">
      <c r="A2" s="5"/>
      <c r="B2" s="6"/>
      <c r="C2" s="7"/>
      <c r="D2" s="496" t="str">
        <f>КВ0</f>
        <v>КВ-0 Старт Skoda</v>
      </c>
      <c r="E2" s="497"/>
      <c r="F2" s="16" t="s">
        <v>10</v>
      </c>
      <c r="G2" s="15">
        <f>КВ1Время</f>
        <v>60</v>
      </c>
    </row>
    <row r="3" spans="1:7" ht="17.45" customHeight="1" x14ac:dyDescent="0.25">
      <c r="A3" s="5"/>
      <c r="B3" s="6"/>
      <c r="C3" s="7"/>
      <c r="D3" s="496" t="str">
        <f>КВ1</f>
        <v>КВ-1 М1</v>
      </c>
      <c r="E3" s="497"/>
      <c r="F3" s="16" t="s">
        <v>9</v>
      </c>
      <c r="G3" s="17">
        <f>КВ1Скорость</f>
        <v>38.92</v>
      </c>
    </row>
    <row r="4" spans="1:7" ht="17.45" customHeight="1" x14ac:dyDescent="0.25">
      <c r="A4" s="1" t="s">
        <v>0</v>
      </c>
      <c r="B4" s="1" t="s">
        <v>1</v>
      </c>
      <c r="C4" s="1" t="s">
        <v>2</v>
      </c>
      <c r="D4" s="1" t="s">
        <v>3</v>
      </c>
      <c r="E4" s="498" t="s">
        <v>4</v>
      </c>
      <c r="F4" s="499"/>
      <c r="G4" s="1" t="s">
        <v>5</v>
      </c>
    </row>
    <row r="5" spans="1:7" ht="120" customHeight="1" x14ac:dyDescent="0.35">
      <c r="A5" s="8">
        <v>1</v>
      </c>
      <c r="B5" s="85"/>
      <c r="C5" s="84"/>
      <c r="D5" s="272"/>
      <c r="E5" s="502" t="str">
        <f>КВ0</f>
        <v>КВ-0 Старт Skoda</v>
      </c>
      <c r="F5" s="503"/>
      <c r="G5" s="84"/>
    </row>
    <row r="6" spans="1:7" ht="240" customHeight="1" x14ac:dyDescent="0.25">
      <c r="A6" s="8">
        <f>1+A5</f>
        <v>2</v>
      </c>
      <c r="B6" s="85">
        <v>0</v>
      </c>
      <c r="C6" s="84">
        <f t="shared" ref="C6" si="0">B6-B5</f>
        <v>0</v>
      </c>
      <c r="D6" s="224"/>
      <c r="E6" s="500"/>
      <c r="F6" s="501"/>
      <c r="G6" s="84">
        <f t="shared" ref="G6" si="1">КВ1Расстояние-B6</f>
        <v>38.92</v>
      </c>
    </row>
    <row r="7" spans="1:7" ht="120" customHeight="1" x14ac:dyDescent="0.25">
      <c r="A7" s="171"/>
      <c r="B7" s="276"/>
      <c r="C7" s="277"/>
      <c r="D7" s="171"/>
      <c r="E7" s="494"/>
      <c r="F7" s="494"/>
      <c r="G7" s="277"/>
    </row>
    <row r="8" spans="1:7" ht="120" customHeight="1" x14ac:dyDescent="0.25">
      <c r="A8" s="90"/>
      <c r="B8" s="278"/>
      <c r="C8" s="279"/>
      <c r="D8" s="90"/>
      <c r="E8" s="495"/>
      <c r="F8" s="495"/>
      <c r="G8" s="279"/>
    </row>
    <row r="9" spans="1:7" ht="120" customHeight="1" x14ac:dyDescent="0.25">
      <c r="A9" s="90"/>
      <c r="B9" s="278"/>
      <c r="C9" s="279"/>
      <c r="D9" s="90"/>
      <c r="E9" s="495"/>
      <c r="F9" s="495"/>
      <c r="G9" s="279"/>
    </row>
  </sheetData>
  <mergeCells count="9">
    <mergeCell ref="E7:F7"/>
    <mergeCell ref="E8:F8"/>
    <mergeCell ref="E9:F9"/>
    <mergeCell ref="D1:E1"/>
    <mergeCell ref="D2:E2"/>
    <mergeCell ref="D3:E3"/>
    <mergeCell ref="E4:F4"/>
    <mergeCell ref="E6:F6"/>
    <mergeCell ref="E5:F5"/>
  </mergeCells>
  <pageMargins left="0.39370078740157483" right="0.39370078740157483" top="0.39370078740157483" bottom="0.39370078740157483" header="0" footer="0.39370078740157483"/>
  <pageSetup paperSize="9" firstPageNumber="3" orientation="portrait" r:id="rId1"/>
  <headerFooter differentFirst="1">
    <oddFooter>Страница  &amp;P из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"/>
  <sheetViews>
    <sheetView view="pageBreakPreview" zoomScaleNormal="70" zoomScaleSheetLayoutView="100" zoomScalePageLayoutView="40" workbookViewId="0"/>
  </sheetViews>
  <sheetFormatPr defaultRowHeight="15" x14ac:dyDescent="0.25"/>
  <cols>
    <col min="1" max="4" width="23.7109375" style="12" customWidth="1"/>
    <col min="5" max="16384" width="9.140625" style="12"/>
  </cols>
  <sheetData>
    <row r="1" spans="1:10" ht="17.45" customHeight="1" x14ac:dyDescent="0.25">
      <c r="A1" s="2" t="s">
        <v>235</v>
      </c>
      <c r="B1" s="227" t="str">
        <f>НазваниеКраткое</f>
        <v>Skoda Rally Weekend - 2017</v>
      </c>
      <c r="C1" s="16" t="s">
        <v>8</v>
      </c>
      <c r="D1" s="17">
        <f>КВ1Расстояние</f>
        <v>38.92</v>
      </c>
    </row>
    <row r="2" spans="1:10" ht="17.45" customHeight="1" x14ac:dyDescent="0.25">
      <c r="A2" s="5"/>
      <c r="B2" s="227" t="str">
        <f>КВ0</f>
        <v>КВ-0 Старт Skoda</v>
      </c>
      <c r="C2" s="16" t="s">
        <v>10</v>
      </c>
      <c r="D2" s="15">
        <f>КВ1Время</f>
        <v>60</v>
      </c>
    </row>
    <row r="3" spans="1:10" ht="17.45" customHeight="1" x14ac:dyDescent="0.25">
      <c r="A3" s="5"/>
      <c r="B3" s="227" t="str">
        <f>КВ1</f>
        <v>КВ-1 М1</v>
      </c>
      <c r="C3" s="16" t="s">
        <v>9</v>
      </c>
      <c r="D3" s="17">
        <f>КВ1Скорость</f>
        <v>38.92</v>
      </c>
    </row>
    <row r="4" spans="1:10" ht="120" customHeight="1" x14ac:dyDescent="0.25">
      <c r="A4" s="504" t="s">
        <v>346</v>
      </c>
      <c r="B4" s="505"/>
      <c r="C4" s="505"/>
      <c r="D4" s="506"/>
    </row>
    <row r="5" spans="1:10" ht="120" customHeight="1" x14ac:dyDescent="0.25">
      <c r="A5" s="280">
        <v>4</v>
      </c>
      <c r="B5" s="281">
        <v>15</v>
      </c>
      <c r="C5" s="282">
        <v>10</v>
      </c>
      <c r="D5" s="280">
        <v>5</v>
      </c>
    </row>
    <row r="6" spans="1:10" ht="120" customHeight="1" x14ac:dyDescent="0.25">
      <c r="A6" s="289"/>
      <c r="B6" s="280">
        <v>18</v>
      </c>
      <c r="C6" s="284" t="s">
        <v>347</v>
      </c>
      <c r="D6" s="283">
        <v>14</v>
      </c>
      <c r="J6" s="307"/>
    </row>
    <row r="7" spans="1:10" ht="120" customHeight="1" x14ac:dyDescent="0.25">
      <c r="A7" s="280">
        <v>13</v>
      </c>
      <c r="B7" s="281">
        <v>3</v>
      </c>
      <c r="C7" s="282">
        <v>7</v>
      </c>
      <c r="D7" s="280">
        <v>9</v>
      </c>
    </row>
    <row r="8" spans="1:10" ht="120" customHeight="1" x14ac:dyDescent="0.25">
      <c r="A8" s="290">
        <v>6</v>
      </c>
      <c r="B8" s="280">
        <v>12</v>
      </c>
      <c r="C8" s="289"/>
      <c r="D8" s="280">
        <v>11</v>
      </c>
    </row>
    <row r="9" spans="1:10" ht="120" customHeight="1" x14ac:dyDescent="0.25">
      <c r="A9" s="289"/>
      <c r="B9" s="280">
        <v>8</v>
      </c>
      <c r="C9" s="280">
        <v>16</v>
      </c>
      <c r="D9" s="280">
        <v>17</v>
      </c>
      <c r="E9"/>
    </row>
    <row r="14" spans="1:10" x14ac:dyDescent="0.25">
      <c r="D14"/>
    </row>
  </sheetData>
  <mergeCells count="1">
    <mergeCell ref="A4:D4"/>
  </mergeCells>
  <pageMargins left="0.39370078740157483" right="0.39370078740157483" top="0.39370078740157483" bottom="0.39370078740157483" header="0" footer="0.39370078740157483"/>
  <pageSetup paperSize="9" firstPageNumber="3" orientation="portrait" r:id="rId1"/>
  <headerFooter differentFirst="1">
    <oddFooter>Страница  &amp;P из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view="pageBreakPreview" zoomScaleNormal="70" zoomScaleSheetLayoutView="100" zoomScalePageLayoutView="40" workbookViewId="0"/>
  </sheetViews>
  <sheetFormatPr defaultRowHeight="15" x14ac:dyDescent="0.25"/>
  <cols>
    <col min="1" max="1" width="5.7109375" style="12" customWidth="1"/>
    <col min="2" max="3" width="8.7109375" style="12" customWidth="1"/>
    <col min="4" max="4" width="23.7109375" style="12" customWidth="1"/>
    <col min="5" max="5" width="20.7109375" style="12" customWidth="1"/>
    <col min="6" max="6" width="16.7109375" style="12" customWidth="1"/>
    <col min="7" max="7" width="9.28515625" style="12" customWidth="1"/>
    <col min="8" max="9" width="9.140625" style="12"/>
    <col min="10" max="10" width="8" style="12" customWidth="1"/>
    <col min="11" max="16384" width="9.140625" style="12"/>
  </cols>
  <sheetData>
    <row r="1" spans="1:12" ht="17.45" customHeight="1" x14ac:dyDescent="0.25">
      <c r="A1" s="2" t="s">
        <v>235</v>
      </c>
      <c r="B1" s="3"/>
      <c r="C1" s="4"/>
      <c r="D1" s="496" t="str">
        <f>НазваниеКраткое</f>
        <v>Skoda Rally Weekend - 2017</v>
      </c>
      <c r="E1" s="497"/>
      <c r="F1" s="16" t="s">
        <v>8</v>
      </c>
      <c r="G1" s="17">
        <f>КВ1Расстояние</f>
        <v>38.92</v>
      </c>
    </row>
    <row r="2" spans="1:12" ht="17.45" customHeight="1" x14ac:dyDescent="0.25">
      <c r="A2" s="5"/>
      <c r="B2" s="6"/>
      <c r="C2" s="7"/>
      <c r="D2" s="496" t="str">
        <f>КВ0</f>
        <v>КВ-0 Старт Skoda</v>
      </c>
      <c r="E2" s="497"/>
      <c r="F2" s="16" t="s">
        <v>10</v>
      </c>
      <c r="G2" s="15">
        <f>КВ1Время</f>
        <v>60</v>
      </c>
    </row>
    <row r="3" spans="1:12" ht="17.45" customHeight="1" x14ac:dyDescent="0.25">
      <c r="A3" s="5"/>
      <c r="B3" s="6"/>
      <c r="C3" s="7"/>
      <c r="D3" s="496" t="str">
        <f>КВ1</f>
        <v>КВ-1 М1</v>
      </c>
      <c r="E3" s="497"/>
      <c r="F3" s="16" t="s">
        <v>9</v>
      </c>
      <c r="G3" s="17">
        <f>КВ1Скорость</f>
        <v>38.92</v>
      </c>
    </row>
    <row r="4" spans="1:12" ht="17.45" customHeight="1" x14ac:dyDescent="0.25">
      <c r="A4" s="1" t="s">
        <v>0</v>
      </c>
      <c r="B4" s="1" t="s">
        <v>1</v>
      </c>
      <c r="C4" s="1" t="s">
        <v>2</v>
      </c>
      <c r="D4" s="1" t="s">
        <v>3</v>
      </c>
      <c r="E4" s="498" t="s">
        <v>4</v>
      </c>
      <c r="F4" s="499"/>
      <c r="G4" s="1" t="s">
        <v>5</v>
      </c>
    </row>
    <row r="5" spans="1:12" ht="120" customHeight="1" x14ac:dyDescent="0.25">
      <c r="A5" s="273">
        <v>20</v>
      </c>
      <c r="B5" s="274">
        <v>7.77</v>
      </c>
      <c r="C5" s="275"/>
      <c r="D5" s="273"/>
      <c r="E5" s="507"/>
      <c r="F5" s="507"/>
      <c r="G5" s="275">
        <f t="shared" ref="G5:G14" si="0">КВ1Расстояние-B5</f>
        <v>31.150000000000002</v>
      </c>
    </row>
    <row r="6" spans="1:12" ht="120" customHeight="1" x14ac:dyDescent="0.25">
      <c r="A6" s="273">
        <f t="shared" ref="A6:A9" si="1">1+A5</f>
        <v>21</v>
      </c>
      <c r="B6" s="274">
        <v>8.98</v>
      </c>
      <c r="C6" s="275">
        <f t="shared" ref="C6:C14" si="2">B6-B5</f>
        <v>1.2100000000000009</v>
      </c>
      <c r="D6" s="273"/>
      <c r="E6" s="507"/>
      <c r="F6" s="507"/>
      <c r="G6" s="275">
        <f t="shared" si="0"/>
        <v>29.94</v>
      </c>
    </row>
    <row r="7" spans="1:12" ht="120" customHeight="1" x14ac:dyDescent="0.25">
      <c r="A7" s="273">
        <f t="shared" si="1"/>
        <v>22</v>
      </c>
      <c r="B7" s="274">
        <v>13.96</v>
      </c>
      <c r="C7" s="275">
        <f t="shared" si="2"/>
        <v>4.9800000000000004</v>
      </c>
      <c r="D7" s="273"/>
      <c r="E7" s="507"/>
      <c r="F7" s="507"/>
      <c r="G7" s="275">
        <f t="shared" si="0"/>
        <v>24.96</v>
      </c>
    </row>
    <row r="8" spans="1:12" ht="120" customHeight="1" x14ac:dyDescent="0.35">
      <c r="A8" s="273">
        <f t="shared" si="1"/>
        <v>23</v>
      </c>
      <c r="B8" s="274">
        <v>15.94</v>
      </c>
      <c r="C8" s="275">
        <f t="shared" si="2"/>
        <v>1.9799999999999986</v>
      </c>
      <c r="D8" s="273"/>
      <c r="E8" s="502" t="str">
        <f>ДС1&amp;" Старт"&amp;CHAR(10)&amp;"!!!БЕСКОНТАКТНЫЙ!!!"&amp;CHAR(10)&amp;"Vср=ПДД-10 км/ч"</f>
        <v>ДС-1 РД Старт
!!!БЕСКОНТАКТНЫЙ!!!
Vср=ПДД-10 км/ч</v>
      </c>
      <c r="F8" s="503"/>
      <c r="G8" s="275">
        <f t="shared" si="0"/>
        <v>22.980000000000004</v>
      </c>
    </row>
    <row r="9" spans="1:12" ht="120" customHeight="1" x14ac:dyDescent="0.25">
      <c r="A9" s="273">
        <f t="shared" si="1"/>
        <v>24</v>
      </c>
      <c r="B9" s="274">
        <v>20.57</v>
      </c>
      <c r="C9" s="275">
        <f t="shared" si="2"/>
        <v>4.6300000000000008</v>
      </c>
      <c r="D9" s="273"/>
      <c r="E9" s="507"/>
      <c r="F9" s="507"/>
      <c r="G9" s="275">
        <f t="shared" si="0"/>
        <v>18.350000000000001</v>
      </c>
    </row>
    <row r="10" spans="1:12" ht="120" customHeight="1" x14ac:dyDescent="0.25">
      <c r="A10" s="273">
        <f t="shared" ref="A10:A11" si="3">1+A9</f>
        <v>25</v>
      </c>
      <c r="B10" s="274">
        <v>20.95</v>
      </c>
      <c r="C10" s="275">
        <f t="shared" si="2"/>
        <v>0.37999999999999901</v>
      </c>
      <c r="D10" s="273"/>
      <c r="E10" s="511"/>
      <c r="F10" s="511"/>
      <c r="G10" s="275">
        <f t="shared" si="0"/>
        <v>17.970000000000002</v>
      </c>
    </row>
    <row r="11" spans="1:12" ht="120" customHeight="1" x14ac:dyDescent="0.25">
      <c r="A11" s="8">
        <f t="shared" si="3"/>
        <v>26</v>
      </c>
      <c r="B11" s="85">
        <v>32.659999999999997</v>
      </c>
      <c r="C11" s="275">
        <f t="shared" si="2"/>
        <v>11.709999999999997</v>
      </c>
      <c r="D11" s="8"/>
      <c r="E11" s="508"/>
      <c r="F11" s="508"/>
      <c r="G11" s="275">
        <f t="shared" si="0"/>
        <v>6.2600000000000051</v>
      </c>
    </row>
    <row r="12" spans="1:12" ht="120" customHeight="1" x14ac:dyDescent="0.25">
      <c r="A12" s="8">
        <f>1+A11</f>
        <v>27</v>
      </c>
      <c r="B12" s="85">
        <v>37.869999999999997</v>
      </c>
      <c r="C12" s="275">
        <f t="shared" si="2"/>
        <v>5.2100000000000009</v>
      </c>
      <c r="D12" s="8"/>
      <c r="E12" s="508"/>
      <c r="F12" s="508"/>
      <c r="G12" s="275">
        <f t="shared" si="0"/>
        <v>1.0500000000000043</v>
      </c>
    </row>
    <row r="13" spans="1:12" ht="120" customHeight="1" x14ac:dyDescent="0.25">
      <c r="A13" s="8">
        <f>1+A12</f>
        <v>28</v>
      </c>
      <c r="B13" s="85">
        <v>38.83</v>
      </c>
      <c r="C13" s="275">
        <f t="shared" si="2"/>
        <v>0.96000000000000085</v>
      </c>
      <c r="D13" s="8"/>
      <c r="E13" s="508"/>
      <c r="F13" s="508"/>
      <c r="G13" s="275">
        <f t="shared" si="0"/>
        <v>9.0000000000003411E-2</v>
      </c>
    </row>
    <row r="14" spans="1:12" ht="120" customHeight="1" x14ac:dyDescent="0.45">
      <c r="A14" s="8">
        <f>1+A12</f>
        <v>28</v>
      </c>
      <c r="B14" s="11">
        <v>38.92</v>
      </c>
      <c r="C14" s="275">
        <f t="shared" si="2"/>
        <v>9.0000000000003411E-2</v>
      </c>
      <c r="D14" s="8"/>
      <c r="E14" s="509" t="str">
        <f>КВ1</f>
        <v>КВ-1 М1</v>
      </c>
      <c r="F14" s="510"/>
      <c r="G14" s="275">
        <f t="shared" si="0"/>
        <v>0</v>
      </c>
      <c r="I14" s="47"/>
      <c r="L14" s="98"/>
    </row>
  </sheetData>
  <mergeCells count="14">
    <mergeCell ref="E11:F11"/>
    <mergeCell ref="E13:F13"/>
    <mergeCell ref="E12:F12"/>
    <mergeCell ref="E14:F14"/>
    <mergeCell ref="E6:F6"/>
    <mergeCell ref="E7:F7"/>
    <mergeCell ref="E8:F8"/>
    <mergeCell ref="E9:F9"/>
    <mergeCell ref="E10:F10"/>
    <mergeCell ref="D1:E1"/>
    <mergeCell ref="D2:E2"/>
    <mergeCell ref="D3:E3"/>
    <mergeCell ref="E4:F4"/>
    <mergeCell ref="E5:F5"/>
  </mergeCells>
  <pageMargins left="0.39370078740157483" right="0.39370078740157483" top="0.39370078740157483" bottom="0.39370078740157483" header="0" footer="0.39370078740157483"/>
  <pageSetup paperSize="9" firstPageNumber="3" orientation="portrait" r:id="rId1"/>
  <headerFooter differentFirst="1">
    <oddFooter>Страница  &amp;P из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"/>
  <sheetViews>
    <sheetView view="pageBreakPreview" zoomScaleNormal="70" zoomScaleSheetLayoutView="100" zoomScalePageLayoutView="40" workbookViewId="0"/>
  </sheetViews>
  <sheetFormatPr defaultRowHeight="15" x14ac:dyDescent="0.25"/>
  <cols>
    <col min="1" max="1" width="5.7109375" style="12" customWidth="1"/>
    <col min="2" max="3" width="8.7109375" style="12" customWidth="1"/>
    <col min="4" max="4" width="23.7109375" style="12" customWidth="1"/>
    <col min="5" max="5" width="20.7109375" style="12" customWidth="1"/>
    <col min="6" max="6" width="16.7109375" style="12" customWidth="1"/>
    <col min="7" max="7" width="9.28515625" style="12" customWidth="1"/>
    <col min="8" max="16384" width="9.140625" style="12"/>
  </cols>
  <sheetData>
    <row r="1" spans="1:7" ht="17.45" customHeight="1" x14ac:dyDescent="0.25">
      <c r="A1" s="2"/>
      <c r="B1" s="3"/>
      <c r="C1" s="4"/>
      <c r="D1" s="496" t="str">
        <f>НазваниеКраткое</f>
        <v>Skoda Rally Weekend - 2017</v>
      </c>
      <c r="E1" s="497"/>
      <c r="F1" s="16" t="s">
        <v>8</v>
      </c>
      <c r="G1" s="17">
        <f>КВ2Расстояние</f>
        <v>15.28</v>
      </c>
    </row>
    <row r="2" spans="1:7" ht="17.45" customHeight="1" x14ac:dyDescent="0.25">
      <c r="A2" s="5"/>
      <c r="B2" s="6"/>
      <c r="C2" s="7"/>
      <c r="D2" s="496" t="str">
        <f>КВ1</f>
        <v>КВ-1 М1</v>
      </c>
      <c r="E2" s="497"/>
      <c r="F2" s="16" t="s">
        <v>10</v>
      </c>
      <c r="G2" s="15">
        <f>КВ2Время</f>
        <v>25</v>
      </c>
    </row>
    <row r="3" spans="1:7" ht="17.45" customHeight="1" x14ac:dyDescent="0.25">
      <c r="A3" s="5"/>
      <c r="B3" s="6"/>
      <c r="C3" s="7"/>
      <c r="D3" s="496" t="str">
        <f>КВ2</f>
        <v>КВ-2 Окружная</v>
      </c>
      <c r="E3" s="497"/>
      <c r="F3" s="16" t="s">
        <v>9</v>
      </c>
      <c r="G3" s="17">
        <f>КВ2Скорость</f>
        <v>36.67</v>
      </c>
    </row>
    <row r="4" spans="1:7" ht="17.45" customHeight="1" x14ac:dyDescent="0.25">
      <c r="A4" s="1" t="s">
        <v>0</v>
      </c>
      <c r="B4" s="1" t="s">
        <v>1</v>
      </c>
      <c r="C4" s="1" t="s">
        <v>2</v>
      </c>
      <c r="D4" s="1" t="s">
        <v>3</v>
      </c>
      <c r="E4" s="498" t="s">
        <v>4</v>
      </c>
      <c r="F4" s="499"/>
      <c r="G4" s="1" t="s">
        <v>5</v>
      </c>
    </row>
    <row r="5" spans="1:7" ht="120" customHeight="1" x14ac:dyDescent="0.3">
      <c r="A5" s="8">
        <v>1</v>
      </c>
      <c r="B5" s="11">
        <v>0</v>
      </c>
      <c r="C5" s="9">
        <v>0</v>
      </c>
      <c r="D5" s="103"/>
      <c r="E5" s="512" t="str">
        <f>КВ1&amp;CHAR(10)&amp;ДС2&amp;" Старт"&amp;CHAR(10)&amp;"Норма времени "&amp;ДС2Время</f>
        <v>КВ-1 М1
ДС-2 РУ Старт
Норма времени по бюллетеню</v>
      </c>
      <c r="F5" s="512"/>
      <c r="G5" s="9">
        <f t="shared" ref="G5:G14" si="0">КВ2Расстояние-B5</f>
        <v>15.28</v>
      </c>
    </row>
    <row r="6" spans="1:7" ht="39.950000000000003" customHeight="1" x14ac:dyDescent="0.25">
      <c r="A6" s="8">
        <f t="shared" ref="A6:A13" si="1">1+A5</f>
        <v>2</v>
      </c>
      <c r="B6" s="11">
        <v>1.6</v>
      </c>
      <c r="C6" s="11">
        <f t="shared" ref="C6:C14" si="2">B6-B5</f>
        <v>1.6</v>
      </c>
      <c r="D6" s="292" t="s">
        <v>320</v>
      </c>
      <c r="E6" s="513" t="s">
        <v>323</v>
      </c>
      <c r="F6" s="513"/>
      <c r="G6" s="9">
        <f t="shared" si="0"/>
        <v>13.68</v>
      </c>
    </row>
    <row r="7" spans="1:7" ht="39.950000000000003" customHeight="1" x14ac:dyDescent="0.25">
      <c r="A7" s="8">
        <f t="shared" si="1"/>
        <v>3</v>
      </c>
      <c r="B7" s="11">
        <v>2.86</v>
      </c>
      <c r="C7" s="11">
        <f t="shared" si="2"/>
        <v>1.2599999999999998</v>
      </c>
      <c r="D7" s="292" t="s">
        <v>319</v>
      </c>
      <c r="E7" s="514" t="s">
        <v>324</v>
      </c>
      <c r="F7" s="514"/>
      <c r="G7" s="9">
        <f t="shared" si="0"/>
        <v>12.42</v>
      </c>
    </row>
    <row r="8" spans="1:7" ht="39.950000000000003" customHeight="1" x14ac:dyDescent="0.25">
      <c r="A8" s="8">
        <f t="shared" si="1"/>
        <v>4</v>
      </c>
      <c r="B8" s="11">
        <v>3.16</v>
      </c>
      <c r="C8" s="11">
        <f t="shared" si="2"/>
        <v>0.30000000000000027</v>
      </c>
      <c r="D8" s="292" t="s">
        <v>322</v>
      </c>
      <c r="E8" s="513" t="s">
        <v>325</v>
      </c>
      <c r="F8" s="513"/>
      <c r="G8" s="9">
        <f t="shared" si="0"/>
        <v>12.12</v>
      </c>
    </row>
    <row r="9" spans="1:7" ht="39.950000000000003" customHeight="1" x14ac:dyDescent="0.25">
      <c r="A9" s="8">
        <f t="shared" si="1"/>
        <v>5</v>
      </c>
      <c r="B9" s="11">
        <v>3.6</v>
      </c>
      <c r="C9" s="11">
        <f t="shared" si="2"/>
        <v>0.43999999999999995</v>
      </c>
      <c r="D9" s="292" t="s">
        <v>320</v>
      </c>
      <c r="E9" s="513" t="s">
        <v>326</v>
      </c>
      <c r="F9" s="513"/>
      <c r="G9" s="9">
        <f t="shared" si="0"/>
        <v>11.68</v>
      </c>
    </row>
    <row r="10" spans="1:7" ht="39.950000000000003" customHeight="1" x14ac:dyDescent="0.25">
      <c r="A10" s="8">
        <f t="shared" si="1"/>
        <v>6</v>
      </c>
      <c r="B10" s="11">
        <v>6.18</v>
      </c>
      <c r="C10" s="11">
        <f t="shared" si="2"/>
        <v>2.5799999999999996</v>
      </c>
      <c r="D10" s="292"/>
      <c r="E10" s="513"/>
      <c r="F10" s="513"/>
      <c r="G10" s="9">
        <f t="shared" si="0"/>
        <v>9.1</v>
      </c>
    </row>
    <row r="11" spans="1:7" ht="39.950000000000003" customHeight="1" x14ac:dyDescent="0.25">
      <c r="A11" s="8">
        <f>1+A10</f>
        <v>7</v>
      </c>
      <c r="B11" s="11">
        <v>8.26</v>
      </c>
      <c r="C11" s="11">
        <f t="shared" si="2"/>
        <v>2.08</v>
      </c>
      <c r="D11" s="292" t="s">
        <v>320</v>
      </c>
      <c r="E11" s="513" t="s">
        <v>338</v>
      </c>
      <c r="F11" s="513"/>
      <c r="G11" s="9">
        <f t="shared" si="0"/>
        <v>7.02</v>
      </c>
    </row>
    <row r="12" spans="1:7" ht="39.950000000000003" customHeight="1" x14ac:dyDescent="0.25">
      <c r="A12" s="8">
        <f>1+A11</f>
        <v>8</v>
      </c>
      <c r="B12" s="11">
        <v>9.9</v>
      </c>
      <c r="C12" s="11">
        <f t="shared" si="2"/>
        <v>1.6400000000000006</v>
      </c>
      <c r="D12" s="292" t="s">
        <v>320</v>
      </c>
      <c r="E12" s="513" t="s">
        <v>330</v>
      </c>
      <c r="F12" s="513"/>
      <c r="G12" s="9">
        <f t="shared" si="0"/>
        <v>5.379999999999999</v>
      </c>
    </row>
    <row r="13" spans="1:7" ht="120" customHeight="1" x14ac:dyDescent="0.35">
      <c r="A13" s="8">
        <f t="shared" si="1"/>
        <v>9</v>
      </c>
      <c r="B13" s="11">
        <v>11.94</v>
      </c>
      <c r="C13" s="11">
        <f t="shared" si="2"/>
        <v>2.0399999999999991</v>
      </c>
      <c r="D13" s="8"/>
      <c r="E13" s="509" t="str">
        <f>ДС2&amp;" Финиш !!!БЕСКОНТАКТНЫЙ!!!"</f>
        <v>ДС-2 РУ Финиш !!!БЕСКОНТАКТНЫЙ!!!</v>
      </c>
      <c r="F13" s="510"/>
      <c r="G13" s="9">
        <f t="shared" si="0"/>
        <v>3.34</v>
      </c>
    </row>
    <row r="14" spans="1:7" ht="120" customHeight="1" x14ac:dyDescent="0.35">
      <c r="A14" s="8">
        <f t="shared" ref="A14" si="3">1+A13</f>
        <v>10</v>
      </c>
      <c r="B14" s="11">
        <v>15.28</v>
      </c>
      <c r="C14" s="11">
        <f t="shared" si="2"/>
        <v>3.34</v>
      </c>
      <c r="D14" s="8"/>
      <c r="E14" s="502" t="str">
        <f>КВ2</f>
        <v>КВ-2 Окружная</v>
      </c>
      <c r="F14" s="503"/>
      <c r="G14" s="9">
        <f t="shared" si="0"/>
        <v>0</v>
      </c>
    </row>
  </sheetData>
  <mergeCells count="14">
    <mergeCell ref="E13:F13"/>
    <mergeCell ref="E14:F14"/>
    <mergeCell ref="D1:E1"/>
    <mergeCell ref="D2:E2"/>
    <mergeCell ref="D3:E3"/>
    <mergeCell ref="E4:F4"/>
    <mergeCell ref="E5:F5"/>
    <mergeCell ref="E6:F6"/>
    <mergeCell ref="E7:F7"/>
    <mergeCell ref="E8:F8"/>
    <mergeCell ref="E9:F9"/>
    <mergeCell ref="E12:F12"/>
    <mergeCell ref="E11:F11"/>
    <mergeCell ref="E10:F10"/>
  </mergeCells>
  <pageMargins left="0.39370078740157483" right="0.39370078740157483" top="0.39370078740157483" bottom="0.39370078740157483" header="0" footer="0.39370078740157483"/>
  <pageSetup paperSize="9" firstPageNumber="3" orientation="portrait" r:id="rId1"/>
  <headerFooter differentFirst="1">
    <oddFooter>Страница  &amp;P из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view="pageBreakPreview" topLeftCell="A13" zoomScaleNormal="70" zoomScaleSheetLayoutView="100" zoomScalePageLayoutView="40" workbookViewId="0"/>
  </sheetViews>
  <sheetFormatPr defaultRowHeight="15" x14ac:dyDescent="0.25"/>
  <cols>
    <col min="1" max="1" width="5.7109375" style="12" customWidth="1"/>
    <col min="2" max="3" width="8.7109375" style="12" customWidth="1"/>
    <col min="4" max="4" width="23.7109375" style="12" customWidth="1"/>
    <col min="5" max="5" width="20.7109375" style="12" customWidth="1"/>
    <col min="6" max="6" width="16.7109375" style="12" customWidth="1"/>
    <col min="7" max="7" width="9.28515625" style="12" customWidth="1"/>
    <col min="8" max="9" width="9.140625" style="12"/>
    <col min="10" max="10" width="8" style="12" customWidth="1"/>
    <col min="11" max="16384" width="9.140625" style="12"/>
  </cols>
  <sheetData>
    <row r="1" spans="1:10" ht="17.45" customHeight="1" x14ac:dyDescent="0.25">
      <c r="A1" s="2"/>
      <c r="B1" s="3"/>
      <c r="C1" s="4"/>
      <c r="D1" s="496" t="str">
        <f>НазваниеКраткое</f>
        <v>Skoda Rally Weekend - 2017</v>
      </c>
      <c r="E1" s="497"/>
      <c r="F1" s="16" t="s">
        <v>8</v>
      </c>
      <c r="G1" s="17">
        <f>КВ3Расстояние</f>
        <v>3.41</v>
      </c>
    </row>
    <row r="2" spans="1:10" ht="17.45" customHeight="1" x14ac:dyDescent="0.25">
      <c r="A2" s="5"/>
      <c r="B2" s="6"/>
      <c r="C2" s="7"/>
      <c r="D2" s="496" t="str">
        <f>КВ2</f>
        <v>КВ-2 Окружная</v>
      </c>
      <c r="E2" s="497"/>
      <c r="F2" s="16" t="s">
        <v>10</v>
      </c>
      <c r="G2" s="15">
        <f>КВ3Время</f>
        <v>7</v>
      </c>
    </row>
    <row r="3" spans="1:10" ht="17.45" customHeight="1" x14ac:dyDescent="0.25">
      <c r="A3" s="5"/>
      <c r="B3" s="6"/>
      <c r="C3" s="7"/>
      <c r="D3" s="496" t="str">
        <f>КВ3</f>
        <v>КВ-3 Родник</v>
      </c>
      <c r="E3" s="497"/>
      <c r="F3" s="16" t="s">
        <v>9</v>
      </c>
      <c r="G3" s="17">
        <f>КВ3Скорость</f>
        <v>29.23</v>
      </c>
    </row>
    <row r="4" spans="1:10" ht="17.45" customHeight="1" x14ac:dyDescent="0.25">
      <c r="A4" s="1" t="s">
        <v>0</v>
      </c>
      <c r="B4" s="1" t="s">
        <v>1</v>
      </c>
      <c r="C4" s="1" t="s">
        <v>2</v>
      </c>
      <c r="D4" s="1" t="s">
        <v>3</v>
      </c>
      <c r="E4" s="498" t="s">
        <v>4</v>
      </c>
      <c r="F4" s="499"/>
      <c r="G4" s="1" t="s">
        <v>5</v>
      </c>
    </row>
    <row r="5" spans="1:10" ht="120" customHeight="1" x14ac:dyDescent="0.35">
      <c r="A5" s="8">
        <v>1</v>
      </c>
      <c r="B5" s="11">
        <v>0</v>
      </c>
      <c r="C5" s="9">
        <v>0</v>
      </c>
      <c r="D5" s="8"/>
      <c r="E5" s="517" t="str">
        <f>КВ2</f>
        <v>КВ-2 Окружная</v>
      </c>
      <c r="F5" s="517"/>
      <c r="G5" s="9">
        <f t="shared" ref="G5:G15" si="0">КВ3Расстояние-B5</f>
        <v>3.41</v>
      </c>
    </row>
    <row r="6" spans="1:10" ht="120" customHeight="1" x14ac:dyDescent="0.25">
      <c r="A6" s="8">
        <f t="shared" ref="A6:A15" si="1">1+A5</f>
        <v>2</v>
      </c>
      <c r="B6" s="85">
        <v>0.35</v>
      </c>
      <c r="C6" s="85">
        <f t="shared" ref="C6:C15" si="2">B6-B5</f>
        <v>0.35</v>
      </c>
      <c r="D6" s="89"/>
      <c r="E6" s="515"/>
      <c r="F6" s="516"/>
      <c r="G6" s="9">
        <f t="shared" si="0"/>
        <v>3.06</v>
      </c>
    </row>
    <row r="7" spans="1:10" ht="120" customHeight="1" x14ac:dyDescent="0.25">
      <c r="A7" s="8">
        <f t="shared" si="1"/>
        <v>3</v>
      </c>
      <c r="B7" s="306">
        <v>0.7</v>
      </c>
      <c r="C7" s="306">
        <f t="shared" si="2"/>
        <v>0.35</v>
      </c>
      <c r="D7" s="89"/>
      <c r="E7" s="511"/>
      <c r="F7" s="511"/>
      <c r="G7" s="306">
        <f t="shared" si="0"/>
        <v>2.71</v>
      </c>
    </row>
    <row r="8" spans="1:10" ht="120" customHeight="1" x14ac:dyDescent="0.25">
      <c r="A8" s="8">
        <f t="shared" si="1"/>
        <v>4</v>
      </c>
      <c r="B8" s="306">
        <v>0.74</v>
      </c>
      <c r="C8" s="85">
        <f t="shared" si="2"/>
        <v>4.0000000000000036E-2</v>
      </c>
      <c r="D8" s="89"/>
      <c r="E8" s="511"/>
      <c r="F8" s="511"/>
      <c r="G8" s="306">
        <f t="shared" si="0"/>
        <v>2.67</v>
      </c>
    </row>
    <row r="9" spans="1:10" ht="120" customHeight="1" x14ac:dyDescent="0.25">
      <c r="A9" s="8">
        <f t="shared" si="1"/>
        <v>5</v>
      </c>
      <c r="B9" s="306">
        <v>1.01</v>
      </c>
      <c r="C9" s="306">
        <f t="shared" si="2"/>
        <v>0.27</v>
      </c>
      <c r="D9" s="89"/>
      <c r="E9" s="511"/>
      <c r="F9" s="511"/>
      <c r="G9" s="306">
        <f t="shared" si="0"/>
        <v>2.4000000000000004</v>
      </c>
    </row>
    <row r="10" spans="1:10" ht="120" customHeight="1" x14ac:dyDescent="0.25">
      <c r="A10" s="8">
        <f t="shared" si="1"/>
        <v>6</v>
      </c>
      <c r="B10" s="306">
        <v>1.1200000000000001</v>
      </c>
      <c r="C10" s="306">
        <f t="shared" si="2"/>
        <v>0.1100000000000001</v>
      </c>
      <c r="D10" s="89"/>
      <c r="E10" s="511"/>
      <c r="F10" s="511"/>
      <c r="G10" s="306">
        <f t="shared" si="0"/>
        <v>2.29</v>
      </c>
    </row>
    <row r="11" spans="1:10" ht="120" customHeight="1" x14ac:dyDescent="0.25">
      <c r="A11" s="8">
        <f t="shared" si="1"/>
        <v>7</v>
      </c>
      <c r="B11" s="306">
        <v>1.41</v>
      </c>
      <c r="C11" s="306">
        <f t="shared" si="2"/>
        <v>0.28999999999999981</v>
      </c>
      <c r="D11" s="170"/>
      <c r="E11" s="511"/>
      <c r="F11" s="511"/>
      <c r="G11" s="306">
        <f t="shared" si="0"/>
        <v>2</v>
      </c>
    </row>
    <row r="12" spans="1:10" ht="120" customHeight="1" x14ac:dyDescent="0.25">
      <c r="A12" s="8">
        <f t="shared" si="1"/>
        <v>8</v>
      </c>
      <c r="B12" s="306">
        <v>1.5</v>
      </c>
      <c r="C12" s="306">
        <f t="shared" si="2"/>
        <v>9.000000000000008E-2</v>
      </c>
      <c r="D12" s="170"/>
      <c r="E12" s="511"/>
      <c r="F12" s="511"/>
      <c r="G12" s="306">
        <f t="shared" si="0"/>
        <v>1.9100000000000001</v>
      </c>
    </row>
    <row r="13" spans="1:10" ht="120" customHeight="1" x14ac:dyDescent="0.25">
      <c r="A13" s="8">
        <f t="shared" si="1"/>
        <v>9</v>
      </c>
      <c r="B13" s="306">
        <v>1.77</v>
      </c>
      <c r="C13" s="306">
        <f t="shared" si="2"/>
        <v>0.27</v>
      </c>
      <c r="D13" s="89"/>
      <c r="E13" s="515"/>
      <c r="F13" s="516"/>
      <c r="G13" s="306">
        <f t="shared" si="0"/>
        <v>1.6400000000000001</v>
      </c>
    </row>
    <row r="14" spans="1:10" ht="120" customHeight="1" x14ac:dyDescent="0.25">
      <c r="A14" s="8">
        <f>1+A13</f>
        <v>10</v>
      </c>
      <c r="B14" s="306">
        <v>3.36</v>
      </c>
      <c r="C14" s="85">
        <f t="shared" si="2"/>
        <v>1.5899999999999999</v>
      </c>
      <c r="D14" s="89"/>
      <c r="E14" s="515"/>
      <c r="F14" s="516"/>
      <c r="G14" s="306">
        <f t="shared" si="0"/>
        <v>5.0000000000000266E-2</v>
      </c>
      <c r="J14" s="47"/>
    </row>
    <row r="15" spans="1:10" ht="120" customHeight="1" x14ac:dyDescent="0.35">
      <c r="A15" s="8">
        <f t="shared" si="1"/>
        <v>11</v>
      </c>
      <c r="B15" s="11">
        <v>3.41</v>
      </c>
      <c r="C15" s="11">
        <f t="shared" si="2"/>
        <v>5.0000000000000266E-2</v>
      </c>
      <c r="D15" s="89"/>
      <c r="E15" s="502" t="str">
        <f>КВ3</f>
        <v>КВ-3 Родник</v>
      </c>
      <c r="F15" s="503"/>
      <c r="G15" s="9">
        <f t="shared" si="0"/>
        <v>0</v>
      </c>
      <c r="J15" s="47"/>
    </row>
  </sheetData>
  <mergeCells count="15">
    <mergeCell ref="E13:F13"/>
    <mergeCell ref="E14:F14"/>
    <mergeCell ref="E15:F15"/>
    <mergeCell ref="E12:F12"/>
    <mergeCell ref="D1:E1"/>
    <mergeCell ref="D2:E2"/>
    <mergeCell ref="D3:E3"/>
    <mergeCell ref="E4:F4"/>
    <mergeCell ref="E5:F5"/>
    <mergeCell ref="E6:F6"/>
    <mergeCell ref="E7:F7"/>
    <mergeCell ref="E8:F8"/>
    <mergeCell ref="E9:F9"/>
    <mergeCell ref="E10:F10"/>
    <mergeCell ref="E11:F11"/>
  </mergeCells>
  <pageMargins left="0.39370078740157483" right="0.39370078740157483" top="0.39370078740157483" bottom="0.39370078740157483" header="0" footer="0.39370078740157483"/>
  <pageSetup paperSize="9" firstPageNumber="3" orientation="portrait" r:id="rId1"/>
  <headerFooter differentFirst="1">
    <oddFooter>Страница  &amp;P из &amp;N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view="pageBreakPreview" zoomScaleNormal="70" zoomScaleSheetLayoutView="100" zoomScalePageLayoutView="40" workbookViewId="0"/>
  </sheetViews>
  <sheetFormatPr defaultRowHeight="15" x14ac:dyDescent="0.25"/>
  <cols>
    <col min="1" max="1" width="5.7109375" style="12" customWidth="1"/>
    <col min="2" max="3" width="8.7109375" style="12" customWidth="1"/>
    <col min="4" max="4" width="23.7109375" style="12" customWidth="1"/>
    <col min="5" max="5" width="20.7109375" style="12" customWidth="1"/>
    <col min="6" max="6" width="16.7109375" style="12" customWidth="1"/>
    <col min="7" max="7" width="9.28515625" style="12" customWidth="1"/>
    <col min="8" max="9" width="9.140625" style="12"/>
    <col min="10" max="10" width="8" style="12" customWidth="1"/>
    <col min="11" max="16384" width="9.140625" style="12"/>
  </cols>
  <sheetData>
    <row r="1" spans="1:10" ht="17.45" customHeight="1" x14ac:dyDescent="0.25">
      <c r="A1" s="2"/>
      <c r="B1" s="3"/>
      <c r="C1" s="4"/>
      <c r="D1" s="496" t="str">
        <f>НазваниеКраткое</f>
        <v>Skoda Rally Weekend - 2017</v>
      </c>
      <c r="E1" s="497"/>
      <c r="F1" s="16" t="s">
        <v>8</v>
      </c>
      <c r="G1" s="17">
        <f>КВ4Расстояние</f>
        <v>62.34</v>
      </c>
    </row>
    <row r="2" spans="1:10" ht="17.45" customHeight="1" x14ac:dyDescent="0.25">
      <c r="A2" s="5"/>
      <c r="B2" s="6"/>
      <c r="C2" s="7"/>
      <c r="D2" s="496" t="str">
        <f>КВ3</f>
        <v>КВ-3 Родник</v>
      </c>
      <c r="E2" s="497"/>
      <c r="F2" s="16" t="s">
        <v>10</v>
      </c>
      <c r="G2" s="15">
        <f>КВ4Время</f>
        <v>70</v>
      </c>
    </row>
    <row r="3" spans="1:10" ht="17.45" customHeight="1" x14ac:dyDescent="0.25">
      <c r="A3" s="5"/>
      <c r="B3" s="6"/>
      <c r="C3" s="7"/>
      <c r="D3" s="496" t="str">
        <f>КВ4</f>
        <v>КВ-4 Финиш Skoda</v>
      </c>
      <c r="E3" s="497"/>
      <c r="F3" s="16" t="s">
        <v>9</v>
      </c>
      <c r="G3" s="17">
        <f>КВ4Скорость</f>
        <v>53.43</v>
      </c>
    </row>
    <row r="4" spans="1:10" ht="17.45" customHeight="1" x14ac:dyDescent="0.25">
      <c r="A4" s="1" t="s">
        <v>0</v>
      </c>
      <c r="B4" s="1" t="s">
        <v>1</v>
      </c>
      <c r="C4" s="1" t="s">
        <v>2</v>
      </c>
      <c r="D4" s="1" t="s">
        <v>3</v>
      </c>
      <c r="E4" s="498" t="s">
        <v>4</v>
      </c>
      <c r="F4" s="499"/>
      <c r="G4" s="1" t="s">
        <v>5</v>
      </c>
    </row>
    <row r="5" spans="1:10" ht="120" customHeight="1" x14ac:dyDescent="0.3">
      <c r="A5" s="8">
        <v>1</v>
      </c>
      <c r="B5" s="11">
        <v>0</v>
      </c>
      <c r="C5" s="9">
        <v>0</v>
      </c>
      <c r="D5" s="8"/>
      <c r="E5" s="512" t="str">
        <f>КВ3&amp;CHAR(10)&amp;ДС3&amp;" Старт"&amp;CHAR(10)&amp;"Vср=80% ПДД"</f>
        <v>КВ-3 Родник
ДС-3 РД Старт
Vср=80% ПДД</v>
      </c>
      <c r="F5" s="512"/>
      <c r="G5" s="9">
        <f t="shared" ref="G5:G12" si="0">КВ4Расстояние-B5</f>
        <v>62.34</v>
      </c>
    </row>
    <row r="6" spans="1:10" ht="120" customHeight="1" x14ac:dyDescent="0.25">
      <c r="A6" s="8">
        <f t="shared" ref="A6:A27" si="1">1+A5</f>
        <v>2</v>
      </c>
      <c r="B6" s="306">
        <v>2.71</v>
      </c>
      <c r="C6" s="306">
        <f t="shared" ref="C6:C26" si="2">B6-B5</f>
        <v>2.71</v>
      </c>
      <c r="D6" s="228"/>
      <c r="E6" s="515"/>
      <c r="F6" s="516"/>
      <c r="G6" s="306">
        <f t="shared" si="0"/>
        <v>59.63</v>
      </c>
    </row>
    <row r="7" spans="1:10" ht="120" customHeight="1" x14ac:dyDescent="0.25">
      <c r="A7" s="8">
        <f t="shared" si="1"/>
        <v>3</v>
      </c>
      <c r="B7" s="306">
        <v>3.37</v>
      </c>
      <c r="C7" s="306">
        <f t="shared" si="2"/>
        <v>0.66000000000000014</v>
      </c>
      <c r="D7" s="228"/>
      <c r="E7" s="511"/>
      <c r="F7" s="511"/>
      <c r="G7" s="306">
        <f t="shared" si="0"/>
        <v>58.970000000000006</v>
      </c>
    </row>
    <row r="8" spans="1:10" ht="120" customHeight="1" x14ac:dyDescent="0.25">
      <c r="A8" s="8">
        <f t="shared" si="1"/>
        <v>4</v>
      </c>
      <c r="B8" s="306">
        <v>4.47</v>
      </c>
      <c r="C8" s="306">
        <f t="shared" si="2"/>
        <v>1.0999999999999996</v>
      </c>
      <c r="D8" s="228"/>
      <c r="E8" s="511"/>
      <c r="F8" s="511"/>
      <c r="G8" s="306">
        <f t="shared" si="0"/>
        <v>57.870000000000005</v>
      </c>
      <c r="J8"/>
    </row>
    <row r="9" spans="1:10" ht="120" customHeight="1" x14ac:dyDescent="0.25">
      <c r="A9" s="8">
        <f t="shared" si="1"/>
        <v>5</v>
      </c>
      <c r="B9" s="306">
        <v>6.15</v>
      </c>
      <c r="C9" s="306">
        <f t="shared" si="2"/>
        <v>1.6800000000000006</v>
      </c>
      <c r="D9" s="228"/>
      <c r="E9" s="511"/>
      <c r="F9" s="511"/>
      <c r="G9" s="306">
        <f t="shared" si="0"/>
        <v>56.190000000000005</v>
      </c>
    </row>
    <row r="10" spans="1:10" ht="120" customHeight="1" x14ac:dyDescent="0.25">
      <c r="A10" s="8">
        <f t="shared" si="1"/>
        <v>6</v>
      </c>
      <c r="B10" s="85">
        <v>21.1</v>
      </c>
      <c r="C10" s="85">
        <f t="shared" si="2"/>
        <v>14.950000000000001</v>
      </c>
      <c r="D10" s="228"/>
      <c r="E10" s="519" t="s">
        <v>319</v>
      </c>
      <c r="F10" s="519"/>
      <c r="G10" s="85">
        <f t="shared" si="0"/>
        <v>41.24</v>
      </c>
    </row>
    <row r="11" spans="1:10" ht="120" customHeight="1" x14ac:dyDescent="0.25">
      <c r="A11" s="8">
        <f t="shared" si="1"/>
        <v>7</v>
      </c>
      <c r="B11" s="85">
        <v>26.67</v>
      </c>
      <c r="C11" s="85">
        <f t="shared" si="2"/>
        <v>5.57</v>
      </c>
      <c r="D11" s="228"/>
      <c r="E11" s="519" t="s">
        <v>320</v>
      </c>
      <c r="F11" s="519"/>
      <c r="G11" s="85">
        <f t="shared" si="0"/>
        <v>35.67</v>
      </c>
    </row>
    <row r="12" spans="1:10" ht="120" customHeight="1" x14ac:dyDescent="0.35">
      <c r="A12" s="8">
        <f t="shared" si="1"/>
        <v>8</v>
      </c>
      <c r="B12" s="85">
        <v>47.18</v>
      </c>
      <c r="C12" s="85">
        <f t="shared" si="2"/>
        <v>20.509999999999998</v>
      </c>
      <c r="D12" s="228"/>
      <c r="E12" s="509" t="s">
        <v>321</v>
      </c>
      <c r="F12" s="510"/>
      <c r="G12" s="85">
        <f t="shared" si="0"/>
        <v>15.160000000000004</v>
      </c>
    </row>
    <row r="13" spans="1:10" ht="120" customHeight="1" x14ac:dyDescent="0.25">
      <c r="A13" s="171"/>
      <c r="B13" s="344"/>
      <c r="C13" s="344"/>
      <c r="D13" s="345"/>
      <c r="E13" s="520"/>
      <c r="F13" s="520"/>
      <c r="G13" s="344"/>
      <c r="J13" s="47"/>
    </row>
    <row r="14" spans="1:10" ht="120" customHeight="1" x14ac:dyDescent="0.25">
      <c r="A14" s="90"/>
      <c r="B14" s="91"/>
      <c r="C14" s="91"/>
      <c r="D14" s="92"/>
      <c r="E14" s="518"/>
      <c r="F14" s="518"/>
      <c r="G14" s="91"/>
      <c r="J14" s="47"/>
    </row>
    <row r="15" spans="1:10" ht="120" customHeight="1" x14ac:dyDescent="0.25">
      <c r="A15" s="90"/>
      <c r="B15" s="91"/>
      <c r="C15" s="91"/>
      <c r="D15" s="92"/>
      <c r="E15" s="518"/>
      <c r="F15" s="518"/>
      <c r="G15" s="91"/>
      <c r="J15" s="47"/>
    </row>
    <row r="16" spans="1:10" ht="120" customHeight="1" x14ac:dyDescent="0.25">
      <c r="A16" s="90"/>
      <c r="B16" s="91"/>
      <c r="C16" s="91"/>
      <c r="D16" s="92"/>
      <c r="E16" s="518"/>
      <c r="F16" s="518"/>
      <c r="G16" s="91"/>
      <c r="J16" s="47"/>
    </row>
    <row r="17" spans="1:10" ht="120" customHeight="1" x14ac:dyDescent="0.25">
      <c r="A17" s="10"/>
      <c r="B17" s="91"/>
      <c r="C17" s="91"/>
      <c r="D17" s="92"/>
      <c r="E17" s="518"/>
      <c r="F17" s="518"/>
      <c r="G17" s="96"/>
      <c r="J17" s="47"/>
    </row>
    <row r="18" spans="1:10" ht="120" customHeight="1" x14ac:dyDescent="0.25">
      <c r="A18" s="10"/>
      <c r="B18" s="91"/>
      <c r="C18" s="91"/>
      <c r="D18" s="92"/>
      <c r="E18" s="518"/>
      <c r="F18" s="518"/>
      <c r="G18" s="96"/>
      <c r="J18" s="47"/>
    </row>
    <row r="19" spans="1:10" ht="120" customHeight="1" x14ac:dyDescent="0.25">
      <c r="A19" s="10"/>
      <c r="B19" s="91"/>
      <c r="C19" s="91"/>
      <c r="D19" s="92"/>
      <c r="E19" s="518"/>
      <c r="F19" s="518"/>
      <c r="G19" s="96"/>
      <c r="J19" s="47"/>
    </row>
    <row r="20" spans="1:10" ht="120" customHeight="1" x14ac:dyDescent="0.25">
      <c r="A20" s="10"/>
      <c r="B20" s="91"/>
      <c r="C20" s="91"/>
      <c r="D20" s="92"/>
      <c r="E20" s="518"/>
      <c r="F20" s="518"/>
      <c r="G20" s="96"/>
      <c r="J20" s="47"/>
    </row>
    <row r="21" spans="1:10" ht="120" customHeight="1" x14ac:dyDescent="0.25">
      <c r="A21" s="10"/>
      <c r="B21" s="91"/>
      <c r="C21" s="91"/>
      <c r="D21" s="92"/>
      <c r="E21" s="518"/>
      <c r="F21" s="518"/>
      <c r="G21" s="96"/>
      <c r="J21" s="47"/>
    </row>
    <row r="22" spans="1:10" ht="120" customHeight="1" x14ac:dyDescent="0.25">
      <c r="A22" s="95"/>
      <c r="B22" s="93"/>
      <c r="C22" s="93"/>
      <c r="D22" s="94"/>
      <c r="E22" s="524"/>
      <c r="F22" s="524"/>
      <c r="G22" s="97"/>
      <c r="J22" s="47"/>
    </row>
    <row r="23" spans="1:10" ht="120" customHeight="1" x14ac:dyDescent="0.25">
      <c r="A23" s="8">
        <f>1+A12</f>
        <v>9</v>
      </c>
      <c r="B23" s="85">
        <v>54.7</v>
      </c>
      <c r="C23" s="85"/>
      <c r="D23" s="285"/>
      <c r="E23" s="515" t="s">
        <v>310</v>
      </c>
      <c r="F23" s="516"/>
      <c r="G23" s="85">
        <f t="shared" ref="G23" si="3">КВ4Расстояние-B23</f>
        <v>7.6400000000000006</v>
      </c>
      <c r="J23" s="47"/>
    </row>
    <row r="24" spans="1:10" ht="120" customHeight="1" x14ac:dyDescent="0.25">
      <c r="A24" s="8">
        <f t="shared" si="1"/>
        <v>10</v>
      </c>
      <c r="B24" s="11">
        <v>58.18</v>
      </c>
      <c r="C24" s="11">
        <f t="shared" si="2"/>
        <v>3.4799999999999969</v>
      </c>
      <c r="D24" s="228"/>
      <c r="E24" s="511"/>
      <c r="F24" s="511"/>
      <c r="G24" s="11">
        <f t="shared" ref="G24:G27" si="4">КВ4Расстояние-B24</f>
        <v>4.1600000000000037</v>
      </c>
    </row>
    <row r="25" spans="1:10" ht="120" customHeight="1" x14ac:dyDescent="0.25">
      <c r="A25" s="8">
        <f t="shared" si="1"/>
        <v>11</v>
      </c>
      <c r="B25" s="11">
        <v>58.38</v>
      </c>
      <c r="C25" s="11">
        <f t="shared" si="2"/>
        <v>0.20000000000000284</v>
      </c>
      <c r="D25" s="228"/>
      <c r="E25" s="511"/>
      <c r="F25" s="511"/>
      <c r="G25" s="11">
        <f t="shared" si="4"/>
        <v>3.9600000000000009</v>
      </c>
      <c r="J25" s="47"/>
    </row>
    <row r="26" spans="1:10" ht="120" customHeight="1" x14ac:dyDescent="0.25">
      <c r="A26" s="8">
        <f t="shared" si="1"/>
        <v>12</v>
      </c>
      <c r="B26" s="11">
        <v>62.32</v>
      </c>
      <c r="C26" s="11">
        <f t="shared" si="2"/>
        <v>3.9399999999999977</v>
      </c>
      <c r="D26" s="285"/>
      <c r="E26" s="511"/>
      <c r="F26" s="511"/>
      <c r="G26" s="11">
        <f t="shared" si="4"/>
        <v>2.0000000000003126E-2</v>
      </c>
      <c r="J26" s="47"/>
    </row>
    <row r="27" spans="1:10" ht="120" customHeight="1" x14ac:dyDescent="0.35">
      <c r="A27" s="8">
        <f t="shared" si="1"/>
        <v>13</v>
      </c>
      <c r="B27" s="11">
        <v>62.34</v>
      </c>
      <c r="C27" s="11">
        <f>B27-B25</f>
        <v>3.9600000000000009</v>
      </c>
      <c r="D27" s="228"/>
      <c r="E27" s="517" t="str">
        <f>КВ4</f>
        <v>КВ-4 Финиш Skoda</v>
      </c>
      <c r="F27" s="503"/>
      <c r="G27" s="11">
        <f t="shared" si="4"/>
        <v>0</v>
      </c>
      <c r="J27" s="47"/>
    </row>
    <row r="28" spans="1:10" ht="120" customHeight="1" x14ac:dyDescent="0.25">
      <c r="A28" s="521" t="str">
        <f>"Сдайте контрольную карту и неиспользованные конверты судье финиша. Далее - "&amp;ДС4</f>
        <v>Сдайте контрольную карту и неиспользованные конверты судье финиша. Далее - ДС-4 СЛ</v>
      </c>
      <c r="B28" s="522"/>
      <c r="C28" s="522"/>
      <c r="D28" s="522"/>
      <c r="E28" s="522"/>
      <c r="F28" s="522"/>
      <c r="G28" s="523"/>
      <c r="J28" s="47"/>
    </row>
  </sheetData>
  <mergeCells count="28">
    <mergeCell ref="E25:F25"/>
    <mergeCell ref="E27:F27"/>
    <mergeCell ref="A28:G28"/>
    <mergeCell ref="E23:F23"/>
    <mergeCell ref="E19:F19"/>
    <mergeCell ref="E20:F20"/>
    <mergeCell ref="E21:F21"/>
    <mergeCell ref="E22:F22"/>
    <mergeCell ref="E24:F24"/>
    <mergeCell ref="E26:F26"/>
    <mergeCell ref="E18:F18"/>
    <mergeCell ref="E7:F7"/>
    <mergeCell ref="E8:F8"/>
    <mergeCell ref="E9:F9"/>
    <mergeCell ref="E10:F10"/>
    <mergeCell ref="E11:F11"/>
    <mergeCell ref="E12:F12"/>
    <mergeCell ref="E13:F13"/>
    <mergeCell ref="E14:F14"/>
    <mergeCell ref="E15:F15"/>
    <mergeCell ref="E16:F16"/>
    <mergeCell ref="E17:F17"/>
    <mergeCell ref="E6:F6"/>
    <mergeCell ref="D1:E1"/>
    <mergeCell ref="D2:E2"/>
    <mergeCell ref="D3:E3"/>
    <mergeCell ref="E4:F4"/>
    <mergeCell ref="E5:F5"/>
  </mergeCells>
  <pageMargins left="0.39370078740157483" right="0.39370078740157483" top="0.39370078740157483" bottom="0.39370078740157483" header="0" footer="0.39370078740157483"/>
  <pageSetup paperSize="9" firstPageNumber="3" orientation="portrait" r:id="rId1"/>
  <headerFooter differentFirst="1">
    <oddFooter>Страница  &amp;P из &amp;N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1"/>
  <sheetViews>
    <sheetView view="pageBreakPreview" zoomScaleNormal="55" zoomScaleSheetLayoutView="100" workbookViewId="0"/>
  </sheetViews>
  <sheetFormatPr defaultRowHeight="15" x14ac:dyDescent="0.25"/>
  <sheetData>
    <row r="1" spans="1:10" s="12" customFormat="1" x14ac:dyDescent="0.25"/>
    <row r="2" spans="1:10" s="12" customFormat="1" ht="23.25" x14ac:dyDescent="0.25">
      <c r="A2" s="467" t="str">
        <f>НазваниеПолное</f>
        <v>Ралли "Skoda Rally Weekend - 2017"</v>
      </c>
      <c r="B2" s="467"/>
      <c r="C2" s="467"/>
      <c r="D2" s="467"/>
      <c r="E2" s="467"/>
      <c r="F2" s="467"/>
      <c r="G2" s="467"/>
      <c r="H2" s="467"/>
      <c r="I2" s="467"/>
      <c r="J2" s="467"/>
    </row>
    <row r="3" spans="1:10" s="12" customFormat="1" ht="23.25" x14ac:dyDescent="0.25">
      <c r="A3" s="467" t="s">
        <v>88</v>
      </c>
      <c r="B3" s="467"/>
      <c r="C3" s="467"/>
      <c r="D3" s="467"/>
      <c r="E3" s="467"/>
      <c r="F3" s="467"/>
      <c r="G3" s="467"/>
      <c r="H3" s="467"/>
      <c r="I3" s="467"/>
      <c r="J3" s="467"/>
    </row>
    <row r="4" spans="1:10" s="12" customFormat="1" ht="23.25" x14ac:dyDescent="0.25">
      <c r="A4" s="525" t="s">
        <v>96</v>
      </c>
      <c r="B4" s="525"/>
      <c r="C4" s="525"/>
      <c r="D4" s="525"/>
      <c r="E4" s="525"/>
      <c r="F4" s="525"/>
      <c r="G4" s="525"/>
      <c r="H4" s="525"/>
      <c r="I4" s="525"/>
      <c r="J4" s="525"/>
    </row>
    <row r="5" spans="1:10" s="12" customFormat="1" x14ac:dyDescent="0.25"/>
    <row r="6" spans="1:10" s="12" customFormat="1" x14ac:dyDescent="0.25"/>
    <row r="7" spans="1:10" s="12" customFormat="1" x14ac:dyDescent="0.25"/>
    <row r="8" spans="1:10" s="12" customFormat="1" x14ac:dyDescent="0.25"/>
    <row r="9" spans="1:10" s="12" customFormat="1" x14ac:dyDescent="0.25"/>
    <row r="10" spans="1:10" s="12" customFormat="1" x14ac:dyDescent="0.25"/>
    <row r="11" spans="1:10" s="12" customFormat="1" x14ac:dyDescent="0.25"/>
    <row r="12" spans="1:10" s="12" customFormat="1" x14ac:dyDescent="0.25"/>
    <row r="13" spans="1:10" s="12" customFormat="1" x14ac:dyDescent="0.25"/>
    <row r="14" spans="1:10" s="12" customFormat="1" x14ac:dyDescent="0.25"/>
    <row r="15" spans="1:10" s="12" customFormat="1" x14ac:dyDescent="0.25"/>
    <row r="16" spans="1:10" s="12" customFormat="1" x14ac:dyDescent="0.25"/>
    <row r="17" s="12" customFormat="1" x14ac:dyDescent="0.25"/>
    <row r="18" s="12" customFormat="1" x14ac:dyDescent="0.25"/>
    <row r="19" s="12" customFormat="1" x14ac:dyDescent="0.25"/>
    <row r="20" s="12" customFormat="1" x14ac:dyDescent="0.25"/>
    <row r="21" s="12" customFormat="1" x14ac:dyDescent="0.25"/>
    <row r="22" s="12" customFormat="1" x14ac:dyDescent="0.25"/>
    <row r="23" s="12" customFormat="1" x14ac:dyDescent="0.25"/>
    <row r="24" s="12" customFormat="1" x14ac:dyDescent="0.25"/>
    <row r="25" s="12" customFormat="1" x14ac:dyDescent="0.25"/>
    <row r="26" s="12" customFormat="1" x14ac:dyDescent="0.25"/>
    <row r="27" s="12" customFormat="1" x14ac:dyDescent="0.25"/>
    <row r="28" s="12" customFormat="1" x14ac:dyDescent="0.25"/>
    <row r="29" s="12" customFormat="1" x14ac:dyDescent="0.25"/>
    <row r="30" s="12" customFormat="1" x14ac:dyDescent="0.25"/>
    <row r="31" s="12" customFormat="1" x14ac:dyDescent="0.25"/>
    <row r="32" s="12" customFormat="1" x14ac:dyDescent="0.25"/>
    <row r="33" s="12" customFormat="1" x14ac:dyDescent="0.25"/>
    <row r="34" s="12" customFormat="1" x14ac:dyDescent="0.25"/>
    <row r="35" s="12" customFormat="1" x14ac:dyDescent="0.25"/>
    <row r="36" s="12" customFormat="1" x14ac:dyDescent="0.25"/>
    <row r="37" s="12" customFormat="1" x14ac:dyDescent="0.25"/>
    <row r="38" s="12" customFormat="1" x14ac:dyDescent="0.25"/>
    <row r="39" s="12" customFormat="1" x14ac:dyDescent="0.25"/>
    <row r="40" s="12" customFormat="1" x14ac:dyDescent="0.25"/>
    <row r="41" s="12" customFormat="1" x14ac:dyDescent="0.25"/>
    <row r="42" s="12" customFormat="1" x14ac:dyDescent="0.25"/>
    <row r="43" s="12" customFormat="1" x14ac:dyDescent="0.25"/>
    <row r="44" s="12" customFormat="1" x14ac:dyDescent="0.25"/>
    <row r="45" s="12" customFormat="1" x14ac:dyDescent="0.25"/>
    <row r="46" s="12" customFormat="1" x14ac:dyDescent="0.25"/>
    <row r="47" s="12" customFormat="1" x14ac:dyDescent="0.25"/>
    <row r="48" s="12" customFormat="1" x14ac:dyDescent="0.25"/>
    <row r="49" spans="1:10" s="12" customFormat="1" x14ac:dyDescent="0.25"/>
    <row r="50" spans="1:10" s="12" customFormat="1" ht="18.75" x14ac:dyDescent="0.25">
      <c r="A50" s="469" t="str">
        <f>ДатаРалли</f>
        <v>16 декабря 2017</v>
      </c>
      <c r="B50" s="469"/>
      <c r="C50" s="469"/>
      <c r="D50" s="469"/>
      <c r="E50" s="469"/>
      <c r="F50" s="469"/>
      <c r="G50" s="469"/>
      <c r="H50" s="469"/>
      <c r="I50" s="469"/>
      <c r="J50" s="469"/>
    </row>
    <row r="51" spans="1:10" s="12" customFormat="1" ht="18.75" x14ac:dyDescent="0.25">
      <c r="A51" s="470" t="s">
        <v>7</v>
      </c>
      <c r="B51" s="470"/>
      <c r="C51" s="470"/>
      <c r="D51" s="470"/>
      <c r="E51" s="470"/>
      <c r="F51" s="470"/>
      <c r="G51" s="470"/>
      <c r="H51" s="470"/>
      <c r="I51" s="470"/>
      <c r="J51" s="470"/>
    </row>
  </sheetData>
  <mergeCells count="5">
    <mergeCell ref="A51:J51"/>
    <mergeCell ref="A2:J2"/>
    <mergeCell ref="A3:J3"/>
    <mergeCell ref="A4:J4"/>
    <mergeCell ref="A50:J50"/>
  </mergeCells>
  <pageMargins left="0.39370078740157483" right="0.39370078740157483" top="0.39370078740157483" bottom="0.39370078740157483" header="0" footer="0.39370078740157483"/>
  <pageSetup paperSize="9" orientation="portrait" r:id="rId1"/>
  <headerFooter differentFirst="1">
    <oddFooter>Страница  &amp;P из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G49"/>
  <sheetViews>
    <sheetView workbookViewId="0"/>
  </sheetViews>
  <sheetFormatPr defaultRowHeight="15" x14ac:dyDescent="0.25"/>
  <cols>
    <col min="1" max="1" width="28.28515625" customWidth="1"/>
    <col min="3" max="3" width="10.42578125" style="12" bestFit="1" customWidth="1"/>
    <col min="4" max="4" width="10.28515625" style="12" bestFit="1" customWidth="1"/>
    <col min="5" max="5" width="10.42578125" bestFit="1" customWidth="1"/>
    <col min="6" max="6" width="9.140625" style="12"/>
    <col min="7" max="7" width="10.28515625" style="12" bestFit="1" customWidth="1"/>
    <col min="8" max="11" width="9.140625" style="12"/>
    <col min="12" max="13" width="27.140625" style="12" customWidth="1"/>
    <col min="14" max="14" width="19.28515625" style="12" customWidth="1"/>
    <col min="15" max="15" width="21.85546875" style="12" customWidth="1"/>
    <col min="16" max="17" width="27.140625" style="61" customWidth="1"/>
    <col min="18" max="18" width="9.140625" style="61"/>
  </cols>
  <sheetData>
    <row r="1" spans="1:33" x14ac:dyDescent="0.25">
      <c r="A1" t="s">
        <v>83</v>
      </c>
      <c r="B1" s="63" t="s">
        <v>282</v>
      </c>
      <c r="C1" s="64"/>
      <c r="D1" s="64"/>
      <c r="E1" s="61"/>
      <c r="F1" s="61"/>
      <c r="G1" s="61"/>
      <c r="H1" s="61"/>
      <c r="I1" s="61"/>
    </row>
    <row r="2" spans="1:33" x14ac:dyDescent="0.25">
      <c r="A2" t="s">
        <v>84</v>
      </c>
      <c r="B2" s="63" t="s">
        <v>283</v>
      </c>
      <c r="C2" s="64"/>
      <c r="D2" s="64"/>
      <c r="E2" s="61"/>
      <c r="F2" s="61"/>
      <c r="G2" s="61"/>
      <c r="H2" s="61"/>
      <c r="I2" s="61"/>
    </row>
    <row r="3" spans="1:33" x14ac:dyDescent="0.25">
      <c r="A3" t="s">
        <v>85</v>
      </c>
      <c r="B3" s="63" t="s">
        <v>296</v>
      </c>
      <c r="C3" s="64"/>
      <c r="D3" s="64"/>
      <c r="E3" s="61"/>
      <c r="F3" s="61"/>
      <c r="G3" s="61"/>
      <c r="H3" s="61"/>
      <c r="I3" s="61"/>
    </row>
    <row r="4" spans="1:33" x14ac:dyDescent="0.25">
      <c r="A4" s="12" t="s">
        <v>120</v>
      </c>
      <c r="B4" s="64">
        <v>40</v>
      </c>
      <c r="C4" s="64"/>
      <c r="D4" s="64"/>
      <c r="E4" s="61"/>
      <c r="F4" s="61"/>
      <c r="G4" s="61"/>
      <c r="H4" s="61"/>
      <c r="I4" s="61"/>
    </row>
    <row r="5" spans="1:33" x14ac:dyDescent="0.25">
      <c r="A5" s="12" t="s">
        <v>145</v>
      </c>
      <c r="B5" s="64">
        <v>15</v>
      </c>
      <c r="C5" s="64"/>
      <c r="D5" s="64"/>
      <c r="E5" s="61"/>
      <c r="F5" s="61"/>
      <c r="G5" s="61"/>
      <c r="H5" s="61"/>
      <c r="I5" s="61"/>
    </row>
    <row r="6" spans="1:33" x14ac:dyDescent="0.25">
      <c r="A6" s="12" t="s">
        <v>146</v>
      </c>
      <c r="B6" s="64">
        <v>25</v>
      </c>
      <c r="C6" s="64"/>
      <c r="D6" s="64"/>
      <c r="E6" s="61"/>
      <c r="F6" s="61"/>
      <c r="G6" s="61"/>
      <c r="H6" s="61"/>
      <c r="I6" s="61"/>
    </row>
    <row r="7" spans="1:33" s="12" customFormat="1" x14ac:dyDescent="0.25">
      <c r="A7" s="12" t="s">
        <v>81</v>
      </c>
      <c r="B7" s="62">
        <v>0.50069444444444444</v>
      </c>
      <c r="C7" s="64"/>
      <c r="D7" s="64"/>
      <c r="E7" s="61"/>
      <c r="F7" s="61"/>
      <c r="G7" s="61"/>
      <c r="H7" s="61"/>
      <c r="I7" s="61"/>
      <c r="Q7" s="61"/>
      <c r="R7" s="61"/>
    </row>
    <row r="8" spans="1:33" s="12" customFormat="1" x14ac:dyDescent="0.25">
      <c r="P8" s="61"/>
      <c r="Q8" s="61"/>
      <c r="R8" s="61"/>
    </row>
    <row r="9" spans="1:33" s="12" customFormat="1" ht="32.25" customHeight="1" x14ac:dyDescent="0.25">
      <c r="A9" s="155" t="s">
        <v>140</v>
      </c>
      <c r="B9" s="396" t="s">
        <v>143</v>
      </c>
      <c r="C9" s="397"/>
      <c r="D9" s="397"/>
      <c r="E9" s="397"/>
      <c r="F9" s="398"/>
      <c r="G9" s="399" t="s">
        <v>149</v>
      </c>
      <c r="H9" s="400"/>
      <c r="I9" s="401" t="s">
        <v>144</v>
      </c>
      <c r="J9" s="402"/>
      <c r="K9" s="402"/>
      <c r="L9" s="402"/>
      <c r="M9" s="402"/>
      <c r="N9" s="402"/>
      <c r="O9" s="402"/>
      <c r="P9" s="402"/>
      <c r="Q9" s="403"/>
    </row>
    <row r="10" spans="1:33" ht="90" x14ac:dyDescent="0.25">
      <c r="A10" s="260" t="s">
        <v>150</v>
      </c>
      <c r="B10" s="156" t="s">
        <v>138</v>
      </c>
      <c r="C10" s="157" t="s">
        <v>142</v>
      </c>
      <c r="D10" s="157" t="s">
        <v>151</v>
      </c>
      <c r="E10" s="157" t="s">
        <v>147</v>
      </c>
      <c r="F10" s="158" t="s">
        <v>148</v>
      </c>
      <c r="G10" s="156" t="s">
        <v>289</v>
      </c>
      <c r="H10" s="158" t="s">
        <v>102</v>
      </c>
      <c r="I10" s="156" t="s">
        <v>79</v>
      </c>
      <c r="J10" s="157" t="s">
        <v>102</v>
      </c>
      <c r="K10" s="157" t="s">
        <v>78</v>
      </c>
      <c r="L10" s="332" t="s">
        <v>141</v>
      </c>
      <c r="M10" s="333" t="s">
        <v>215</v>
      </c>
      <c r="N10" s="333" t="s">
        <v>348</v>
      </c>
      <c r="O10" s="333" t="s">
        <v>349</v>
      </c>
      <c r="P10" s="333" t="s">
        <v>350</v>
      </c>
      <c r="Q10" s="334" t="s">
        <v>353</v>
      </c>
      <c r="R10"/>
    </row>
    <row r="11" spans="1:33" s="12" customFormat="1" x14ac:dyDescent="0.25">
      <c r="A11" s="261" t="s">
        <v>155</v>
      </c>
      <c r="B11" s="236"/>
      <c r="C11" s="237"/>
      <c r="D11" s="237"/>
      <c r="E11" s="238">
        <v>0</v>
      </c>
      <c r="F11" s="239">
        <f>ВремяСтарта</f>
        <v>0.50069444444444444</v>
      </c>
      <c r="G11" s="250"/>
      <c r="H11" s="239" t="str">
        <f t="shared" ref="H11:H25" si="0">IF(NOT(ISBLANK(G11)),F10+G11/86400,"")</f>
        <v/>
      </c>
      <c r="I11" s="252">
        <f>J11-120/1440</f>
        <v>0.41736111111111113</v>
      </c>
      <c r="J11" s="253">
        <f t="shared" ref="J11:J13" si="1">IF(ISBLANK(G11),F11,H11)</f>
        <v>0.50069444444444444</v>
      </c>
      <c r="K11" s="254">
        <f>J11+ЧислоЭкипажей/1440</f>
        <v>0.52847222222222223</v>
      </c>
      <c r="L11" s="329"/>
      <c r="M11" s="52"/>
      <c r="N11" s="330"/>
      <c r="O11" s="330"/>
      <c r="P11" s="330"/>
      <c r="Q11" s="331"/>
    </row>
    <row r="12" spans="1:33" s="12" customFormat="1" x14ac:dyDescent="0.25">
      <c r="A12" s="262" t="str">
        <f>ТИ0</f>
        <v>ТИ-0</v>
      </c>
      <c r="B12" s="240">
        <v>0</v>
      </c>
      <c r="C12" s="241">
        <f t="shared" ref="C12:C25" si="2">B12-B11</f>
        <v>0</v>
      </c>
      <c r="D12" s="242">
        <f t="shared" ref="D12:D16" si="3">КВ1Скорость</f>
        <v>38.92</v>
      </c>
      <c r="E12" s="243">
        <f t="shared" ref="E12:E25" si="4">C12/D12*60</f>
        <v>0</v>
      </c>
      <c r="F12" s="244">
        <f t="shared" ref="F12:F25" si="5">F11+E12/1440</f>
        <v>0.50069444444444444</v>
      </c>
      <c r="G12" s="251"/>
      <c r="H12" s="244" t="str">
        <f t="shared" si="0"/>
        <v/>
      </c>
      <c r="I12" s="255">
        <f>J12-120/1440</f>
        <v>0.41736111111111113</v>
      </c>
      <c r="J12" s="256">
        <f t="shared" si="1"/>
        <v>0.50069444444444444</v>
      </c>
      <c r="K12" s="257">
        <f>J12-30/1440</f>
        <v>0.47986111111111113</v>
      </c>
      <c r="L12" s="259" t="s">
        <v>154</v>
      </c>
      <c r="M12" s="49" t="s">
        <v>216</v>
      </c>
      <c r="N12" s="324"/>
      <c r="O12" s="324"/>
      <c r="P12" s="324" t="s">
        <v>384</v>
      </c>
      <c r="Q12" s="335"/>
      <c r="S12" s="12" t="s">
        <v>339</v>
      </c>
      <c r="U12" s="308" t="s">
        <v>154</v>
      </c>
      <c r="W12" s="12" t="s">
        <v>342</v>
      </c>
      <c r="Y12" s="12" t="s">
        <v>343</v>
      </c>
      <c r="AA12" s="12" t="s">
        <v>344</v>
      </c>
    </row>
    <row r="13" spans="1:33" x14ac:dyDescent="0.25">
      <c r="A13" s="262" t="str">
        <f>КВ0</f>
        <v>КВ-0 Старт Skoda</v>
      </c>
      <c r="B13" s="240">
        <v>0</v>
      </c>
      <c r="C13" s="241">
        <f t="shared" si="2"/>
        <v>0</v>
      </c>
      <c r="D13" s="242">
        <f t="shared" si="3"/>
        <v>38.92</v>
      </c>
      <c r="E13" s="243">
        <f t="shared" si="4"/>
        <v>0</v>
      </c>
      <c r="F13" s="244">
        <f t="shared" si="5"/>
        <v>0.50069444444444444</v>
      </c>
      <c r="G13" s="251"/>
      <c r="H13" s="244" t="str">
        <f t="shared" si="0"/>
        <v/>
      </c>
      <c r="I13" s="255">
        <f>J13-1/1440</f>
        <v>0.5</v>
      </c>
      <c r="J13" s="256">
        <f t="shared" si="1"/>
        <v>0.50069444444444444</v>
      </c>
      <c r="K13" s="257">
        <f>J13+ЧислоЭкипажей/1440</f>
        <v>0.52847222222222223</v>
      </c>
      <c r="L13" s="259" t="s">
        <v>295</v>
      </c>
      <c r="M13" s="49" t="s">
        <v>404</v>
      </c>
      <c r="N13" s="324"/>
      <c r="O13" s="324"/>
      <c r="P13" s="324" t="s">
        <v>384</v>
      </c>
      <c r="Q13" s="335"/>
      <c r="S13" s="12" t="s">
        <v>216</v>
      </c>
      <c r="T13" s="12"/>
      <c r="U13" s="308" t="s">
        <v>340</v>
      </c>
      <c r="V13" s="12"/>
      <c r="W13" s="12" t="s">
        <v>306</v>
      </c>
      <c r="X13" s="12"/>
      <c r="Y13" s="12" t="s">
        <v>217</v>
      </c>
      <c r="Z13" s="12"/>
      <c r="AA13" s="308" t="s">
        <v>340</v>
      </c>
      <c r="AB13" s="12"/>
      <c r="AC13" s="12"/>
      <c r="AD13" s="12"/>
      <c r="AE13" s="12"/>
      <c r="AF13" s="12"/>
      <c r="AG13" s="12"/>
    </row>
    <row r="14" spans="1:33" s="12" customFormat="1" ht="15" customHeight="1" x14ac:dyDescent="0.25">
      <c r="A14" s="262" t="str">
        <f>ДС1&amp;" Старт"</f>
        <v>ДС-1 РД Старт</v>
      </c>
      <c r="B14" s="240">
        <f>'Сектор 0-1 Про ч3'!B8</f>
        <v>15.94</v>
      </c>
      <c r="C14" s="241">
        <f t="shared" si="2"/>
        <v>15.94</v>
      </c>
      <c r="D14" s="242">
        <f t="shared" si="3"/>
        <v>38.92</v>
      </c>
      <c r="E14" s="243">
        <f t="shared" si="4"/>
        <v>24.573484069886945</v>
      </c>
      <c r="F14" s="244">
        <f t="shared" si="5"/>
        <v>0.5177593639374215</v>
      </c>
      <c r="G14" s="251"/>
      <c r="H14" s="244" t="str">
        <f t="shared" si="0"/>
        <v/>
      </c>
      <c r="I14" s="258">
        <f t="shared" ref="I14:I15" si="6">MIN(F14,H14)-ВремяОткрытияПостов/1440</f>
        <v>0.50734269727075487</v>
      </c>
      <c r="J14" s="256">
        <f t="shared" ref="J14:J15" si="7">IF(ISBLANK(G14),F14,H14)</f>
        <v>0.5177593639374215</v>
      </c>
      <c r="K14" s="244">
        <f t="shared" ref="K14:K15" si="8">MAX(F14,H14)+(ЧислоЭкипажей+ВремяЗакрытияПостов)/1440</f>
        <v>0.56289825282631034</v>
      </c>
      <c r="L14" s="302" t="s">
        <v>336</v>
      </c>
      <c r="M14" s="49" t="s">
        <v>407</v>
      </c>
      <c r="N14" s="336" t="s">
        <v>355</v>
      </c>
      <c r="O14" s="336" t="s">
        <v>356</v>
      </c>
      <c r="P14" s="324" t="s">
        <v>354</v>
      </c>
      <c r="Q14" s="335" t="s">
        <v>365</v>
      </c>
      <c r="U14" s="12" t="s">
        <v>341</v>
      </c>
      <c r="Y14" s="12" t="s">
        <v>217</v>
      </c>
      <c r="AA14" s="12" t="s">
        <v>341</v>
      </c>
    </row>
    <row r="15" spans="1:33" s="12" customFormat="1" x14ac:dyDescent="0.25">
      <c r="A15" s="262" t="str">
        <f>ДС1&amp;" Финиш"</f>
        <v>ДС-1 РД Финиш</v>
      </c>
      <c r="B15" s="286">
        <v>25.09</v>
      </c>
      <c r="C15" s="241">
        <f t="shared" si="2"/>
        <v>9.15</v>
      </c>
      <c r="D15" s="242">
        <f t="shared" si="3"/>
        <v>38.92</v>
      </c>
      <c r="E15" s="243">
        <f t="shared" si="4"/>
        <v>14.105858170606373</v>
      </c>
      <c r="F15" s="244">
        <f t="shared" si="5"/>
        <v>0.52755509877812035</v>
      </c>
      <c r="G15" s="251">
        <f>ДС1Время</f>
        <v>443</v>
      </c>
      <c r="H15" s="244">
        <f t="shared" si="0"/>
        <v>0.52288667875223627</v>
      </c>
      <c r="I15" s="258">
        <f t="shared" si="6"/>
        <v>0.51247001208556964</v>
      </c>
      <c r="J15" s="256">
        <f t="shared" si="7"/>
        <v>0.52288667875223627</v>
      </c>
      <c r="K15" s="244">
        <f t="shared" si="8"/>
        <v>0.57269398766700919</v>
      </c>
      <c r="L15" s="259" t="s">
        <v>327</v>
      </c>
      <c r="M15" s="49" t="s">
        <v>406</v>
      </c>
      <c r="N15" s="324" t="s">
        <v>357</v>
      </c>
      <c r="O15" s="336" t="s">
        <v>358</v>
      </c>
      <c r="P15" s="324" t="s">
        <v>351</v>
      </c>
      <c r="Q15" s="335" t="s">
        <v>366</v>
      </c>
      <c r="U15" s="64" t="s">
        <v>306</v>
      </c>
      <c r="AA15" s="12" t="s">
        <v>306</v>
      </c>
    </row>
    <row r="16" spans="1:33" x14ac:dyDescent="0.25">
      <c r="A16" s="262" t="str">
        <f>КВ1&amp;" / "&amp;ДС2&amp;" Старт"</f>
        <v>КВ-1 М1 / ДС-2 РУ Старт</v>
      </c>
      <c r="B16" s="240">
        <f>КВ1Расстояние</f>
        <v>38.92</v>
      </c>
      <c r="C16" s="241">
        <f t="shared" si="2"/>
        <v>13.830000000000002</v>
      </c>
      <c r="D16" s="242">
        <f t="shared" si="3"/>
        <v>38.92</v>
      </c>
      <c r="E16" s="243">
        <f t="shared" si="4"/>
        <v>21.32065775950668</v>
      </c>
      <c r="F16" s="244">
        <f t="shared" si="5"/>
        <v>0.54236111111111107</v>
      </c>
      <c r="G16" s="251"/>
      <c r="H16" s="244" t="str">
        <f t="shared" si="0"/>
        <v/>
      </c>
      <c r="I16" s="258">
        <f t="shared" ref="I16:I25" si="9">MIN(F16,H16)-ВремяОткрытияПостов/1440</f>
        <v>0.53194444444444444</v>
      </c>
      <c r="J16" s="256">
        <f t="shared" ref="J16:J25" si="10">IF(ISBLANK(G16),F16,H16)</f>
        <v>0.54236111111111107</v>
      </c>
      <c r="K16" s="244">
        <f t="shared" ref="K16:K25" si="11">MAX(F16,H16)+(ЧислоЭкипажей+ВремяЗакрытияПостов)/1440</f>
        <v>0.58749999999999991</v>
      </c>
      <c r="L16" s="259" t="s">
        <v>293</v>
      </c>
      <c r="M16" s="49" t="s">
        <v>408</v>
      </c>
      <c r="N16" s="324" t="s">
        <v>359</v>
      </c>
      <c r="O16" s="324" t="s">
        <v>360</v>
      </c>
      <c r="P16" s="324" t="s">
        <v>436</v>
      </c>
      <c r="Q16" s="335" t="s">
        <v>367</v>
      </c>
      <c r="S16" s="12"/>
      <c r="T16" s="12"/>
      <c r="U16" s="64" t="s">
        <v>217</v>
      </c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</row>
    <row r="17" spans="1:33" s="12" customFormat="1" x14ac:dyDescent="0.25">
      <c r="A17" s="263" t="s">
        <v>193</v>
      </c>
      <c r="B17" s="245"/>
      <c r="C17" s="246"/>
      <c r="D17" s="246"/>
      <c r="E17" s="246"/>
      <c r="F17" s="244">
        <f t="shared" si="5"/>
        <v>0.54236111111111107</v>
      </c>
      <c r="G17" s="251"/>
      <c r="H17" s="244" t="str">
        <f t="shared" si="0"/>
        <v/>
      </c>
      <c r="I17" s="258">
        <f t="shared" si="9"/>
        <v>0.53194444444444444</v>
      </c>
      <c r="J17" s="256">
        <f t="shared" si="10"/>
        <v>0.54236111111111107</v>
      </c>
      <c r="K17" s="244">
        <f t="shared" si="11"/>
        <v>0.58749999999999991</v>
      </c>
      <c r="L17" s="245"/>
      <c r="M17" s="325"/>
      <c r="N17" s="324"/>
      <c r="O17" s="324"/>
      <c r="P17" s="324"/>
      <c r="Q17" s="335"/>
    </row>
    <row r="18" spans="1:33" s="12" customFormat="1" x14ac:dyDescent="0.25">
      <c r="A18" s="262" t="str">
        <f>ДС2&amp;" Финиш"</f>
        <v>ДС-2 РУ Финиш</v>
      </c>
      <c r="B18" s="240">
        <f>'Сектор 1-2 Про'!B13</f>
        <v>11.94</v>
      </c>
      <c r="C18" s="241">
        <f t="shared" si="2"/>
        <v>11.94</v>
      </c>
      <c r="D18" s="242">
        <f>КВ2Скорость</f>
        <v>36.67</v>
      </c>
      <c r="E18" s="243">
        <f t="shared" si="4"/>
        <v>19.536405781292608</v>
      </c>
      <c r="F18" s="244">
        <f t="shared" si="5"/>
        <v>0.55592805957034208</v>
      </c>
      <c r="G18" s="251">
        <f>ДС2ВремяМин</f>
        <v>478</v>
      </c>
      <c r="H18" s="244">
        <f t="shared" si="0"/>
        <v>0.54789351851851853</v>
      </c>
      <c r="I18" s="258">
        <f t="shared" si="9"/>
        <v>0.5374768518518519</v>
      </c>
      <c r="J18" s="256">
        <f t="shared" si="10"/>
        <v>0.54789351851851853</v>
      </c>
      <c r="K18" s="244">
        <f t="shared" si="11"/>
        <v>0.60106694845923092</v>
      </c>
      <c r="L18" s="259" t="s">
        <v>327</v>
      </c>
      <c r="M18" s="49" t="s">
        <v>406</v>
      </c>
      <c r="N18" s="324" t="s">
        <v>357</v>
      </c>
      <c r="O18" s="336" t="s">
        <v>358</v>
      </c>
      <c r="P18" s="322" t="s">
        <v>351</v>
      </c>
      <c r="Q18" s="323" t="s">
        <v>368</v>
      </c>
    </row>
    <row r="19" spans="1:33" s="12" customFormat="1" x14ac:dyDescent="0.25">
      <c r="A19" s="262" t="str">
        <f>КВ2</f>
        <v>КВ-2 Окружная</v>
      </c>
      <c r="B19" s="240">
        <f>КВ2Расстояние</f>
        <v>15.28</v>
      </c>
      <c r="C19" s="241">
        <f t="shared" si="2"/>
        <v>3.34</v>
      </c>
      <c r="D19" s="242">
        <f>КВ2Скорость</f>
        <v>36.67</v>
      </c>
      <c r="E19" s="243">
        <f t="shared" si="4"/>
        <v>5.4649577311153523</v>
      </c>
      <c r="F19" s="244">
        <f t="shared" si="5"/>
        <v>0.55972316910583886</v>
      </c>
      <c r="G19" s="251"/>
      <c r="H19" s="244" t="str">
        <f t="shared" si="0"/>
        <v/>
      </c>
      <c r="I19" s="258">
        <f t="shared" si="9"/>
        <v>0.54930650243917223</v>
      </c>
      <c r="J19" s="256">
        <f t="shared" si="10"/>
        <v>0.55972316910583886</v>
      </c>
      <c r="K19" s="244">
        <f t="shared" si="11"/>
        <v>0.6048620579947277</v>
      </c>
      <c r="L19" s="259" t="s">
        <v>328</v>
      </c>
      <c r="M19" s="49" t="s">
        <v>405</v>
      </c>
      <c r="N19" s="322" t="s">
        <v>361</v>
      </c>
      <c r="O19" s="322" t="s">
        <v>362</v>
      </c>
      <c r="P19" s="322" t="s">
        <v>435</v>
      </c>
      <c r="Q19" s="323" t="s">
        <v>369</v>
      </c>
      <c r="S19" s="12" t="s">
        <v>328</v>
      </c>
      <c r="U19" s="12" t="s">
        <v>345</v>
      </c>
      <c r="W19" s="308" t="s">
        <v>329</v>
      </c>
    </row>
    <row r="20" spans="1:33" s="12" customFormat="1" x14ac:dyDescent="0.25">
      <c r="A20" s="263" t="s">
        <v>193</v>
      </c>
      <c r="B20" s="245"/>
      <c r="C20" s="246"/>
      <c r="D20" s="246"/>
      <c r="E20" s="246"/>
      <c r="F20" s="244">
        <f t="shared" si="5"/>
        <v>0.55972316910583886</v>
      </c>
      <c r="G20" s="251"/>
      <c r="H20" s="244" t="str">
        <f t="shared" si="0"/>
        <v/>
      </c>
      <c r="I20" s="258">
        <f t="shared" si="9"/>
        <v>0.54930650243917223</v>
      </c>
      <c r="J20" s="256">
        <f t="shared" si="10"/>
        <v>0.55972316910583886</v>
      </c>
      <c r="K20" s="244">
        <f t="shared" si="11"/>
        <v>0.6048620579947277</v>
      </c>
      <c r="L20" s="245"/>
      <c r="M20" s="325"/>
      <c r="N20" s="322"/>
      <c r="O20" s="322"/>
      <c r="P20" s="322"/>
      <c r="Q20" s="323"/>
      <c r="S20" s="308" t="s">
        <v>340</v>
      </c>
      <c r="U20" s="308" t="s">
        <v>340</v>
      </c>
      <c r="W20" s="12" t="s">
        <v>217</v>
      </c>
    </row>
    <row r="21" spans="1:33" x14ac:dyDescent="0.25">
      <c r="A21" s="262" t="str">
        <f>КВ3&amp;" / "&amp;ДС3&amp;" Старт"</f>
        <v>КВ-3 Родник / ДС-3 РД Старт</v>
      </c>
      <c r="B21" s="240">
        <f>КВ3Расстояние</f>
        <v>3.41</v>
      </c>
      <c r="C21" s="241">
        <f t="shared" si="2"/>
        <v>3.41</v>
      </c>
      <c r="D21" s="242">
        <f>КВ3Скорость</f>
        <v>29.23</v>
      </c>
      <c r="E21" s="243">
        <f t="shared" si="4"/>
        <v>6.9996578857338356</v>
      </c>
      <c r="F21" s="244">
        <f t="shared" si="5"/>
        <v>0.56458404263759843</v>
      </c>
      <c r="G21" s="251"/>
      <c r="H21" s="244" t="str">
        <f t="shared" si="0"/>
        <v/>
      </c>
      <c r="I21" s="258">
        <f t="shared" si="9"/>
        <v>0.5541673759709318</v>
      </c>
      <c r="J21" s="256">
        <f t="shared" si="10"/>
        <v>0.56458404263759843</v>
      </c>
      <c r="K21" s="244">
        <f t="shared" si="11"/>
        <v>0.60972293152648727</v>
      </c>
      <c r="L21" s="259" t="s">
        <v>294</v>
      </c>
      <c r="M21" s="49" t="s">
        <v>408</v>
      </c>
      <c r="N21" s="324" t="s">
        <v>438</v>
      </c>
      <c r="O21" s="324" t="s">
        <v>439</v>
      </c>
      <c r="P21" s="324"/>
      <c r="Q21" s="335"/>
      <c r="S21" s="12" t="s">
        <v>341</v>
      </c>
      <c r="T21" s="12"/>
      <c r="U21" s="12" t="s">
        <v>341</v>
      </c>
      <c r="V21" s="12"/>
      <c r="W21" s="12"/>
      <c r="Z21" s="12"/>
      <c r="AA21" s="12"/>
      <c r="AB21" s="12"/>
      <c r="AC21" s="12"/>
      <c r="AD21" s="12"/>
      <c r="AE21" s="12"/>
      <c r="AF21" s="12"/>
      <c r="AG21" s="12"/>
    </row>
    <row r="22" spans="1:33" s="12" customFormat="1" x14ac:dyDescent="0.25">
      <c r="A22" s="263" t="s">
        <v>193</v>
      </c>
      <c r="B22" s="245"/>
      <c r="C22" s="246"/>
      <c r="D22" s="246"/>
      <c r="E22" s="246"/>
      <c r="F22" s="244">
        <f t="shared" si="5"/>
        <v>0.56458404263759843</v>
      </c>
      <c r="G22" s="251"/>
      <c r="H22" s="244" t="str">
        <f t="shared" si="0"/>
        <v/>
      </c>
      <c r="I22" s="258">
        <f t="shared" si="9"/>
        <v>0.5541673759709318</v>
      </c>
      <c r="J22" s="256">
        <f t="shared" si="10"/>
        <v>0.56458404263759843</v>
      </c>
      <c r="K22" s="244">
        <f t="shared" si="11"/>
        <v>0.60972293152648727</v>
      </c>
      <c r="L22" s="245"/>
      <c r="M22" s="325"/>
      <c r="N22" s="324"/>
      <c r="O22" s="324"/>
      <c r="P22" s="324"/>
      <c r="Q22" s="335"/>
      <c r="U22" s="12" t="s">
        <v>306</v>
      </c>
    </row>
    <row r="23" spans="1:33" s="12" customFormat="1" x14ac:dyDescent="0.25">
      <c r="A23" s="262" t="str">
        <f>ДС3&amp;" Финиш"</f>
        <v>ДС-3 РД Финиш</v>
      </c>
      <c r="B23" s="286">
        <v>26.51</v>
      </c>
      <c r="C23" s="241">
        <f t="shared" si="2"/>
        <v>26.51</v>
      </c>
      <c r="D23" s="242">
        <f>КВ4Скорость</f>
        <v>53.43</v>
      </c>
      <c r="E23" s="243">
        <f t="shared" si="4"/>
        <v>29.769792251544079</v>
      </c>
      <c r="F23" s="244">
        <f t="shared" si="5"/>
        <v>0.5852575094789485</v>
      </c>
      <c r="G23" s="251">
        <f>ДС3Время</f>
        <v>1393</v>
      </c>
      <c r="H23" s="244">
        <f t="shared" si="0"/>
        <v>0.58070672782278365</v>
      </c>
      <c r="I23" s="258">
        <f t="shared" si="9"/>
        <v>0.57029006115611702</v>
      </c>
      <c r="J23" s="256">
        <f t="shared" si="10"/>
        <v>0.58070672782278365</v>
      </c>
      <c r="K23" s="244">
        <f t="shared" si="11"/>
        <v>0.63039639836783734</v>
      </c>
      <c r="L23" s="302" t="s">
        <v>329</v>
      </c>
      <c r="M23" s="49" t="s">
        <v>406</v>
      </c>
      <c r="N23" s="324" t="s">
        <v>363</v>
      </c>
      <c r="O23" s="324" t="s">
        <v>364</v>
      </c>
      <c r="P23" s="324" t="s">
        <v>352</v>
      </c>
      <c r="Q23" s="335" t="s">
        <v>368</v>
      </c>
    </row>
    <row r="24" spans="1:33" s="12" customFormat="1" x14ac:dyDescent="0.25">
      <c r="A24" s="262" t="str">
        <f>КВ4</f>
        <v>КВ-4 Финиш Skoda</v>
      </c>
      <c r="B24" s="240">
        <f>КВ4Расстояние</f>
        <v>62.34</v>
      </c>
      <c r="C24" s="241">
        <f t="shared" si="2"/>
        <v>35.83</v>
      </c>
      <c r="D24" s="242">
        <f>КВ4Скорость</f>
        <v>53.43</v>
      </c>
      <c r="E24" s="243">
        <f t="shared" si="4"/>
        <v>40.235822571588997</v>
      </c>
      <c r="F24" s="244">
        <f t="shared" si="5"/>
        <v>0.61319905293144084</v>
      </c>
      <c r="G24" s="251"/>
      <c r="H24" s="244" t="str">
        <f t="shared" si="0"/>
        <v/>
      </c>
      <c r="I24" s="258">
        <f t="shared" si="9"/>
        <v>0.60278238626477421</v>
      </c>
      <c r="J24" s="256">
        <f t="shared" si="10"/>
        <v>0.61319905293144084</v>
      </c>
      <c r="K24" s="244">
        <f t="shared" si="11"/>
        <v>0.65833794182032968</v>
      </c>
      <c r="L24" s="259" t="s">
        <v>295</v>
      </c>
      <c r="M24" s="49" t="s">
        <v>405</v>
      </c>
      <c r="N24" s="322"/>
      <c r="O24" s="322"/>
      <c r="P24" s="324" t="s">
        <v>384</v>
      </c>
      <c r="Q24" s="323"/>
    </row>
    <row r="25" spans="1:33" s="12" customFormat="1" x14ac:dyDescent="0.25">
      <c r="A25" s="262" t="str">
        <f>ДС4</f>
        <v>ДС-4 СЛ</v>
      </c>
      <c r="B25" s="240">
        <f>КВ4Расстояние</f>
        <v>62.34</v>
      </c>
      <c r="C25" s="241">
        <f t="shared" si="2"/>
        <v>0</v>
      </c>
      <c r="D25" s="242">
        <f>КВ4Скорость</f>
        <v>53.43</v>
      </c>
      <c r="E25" s="243">
        <f t="shared" si="4"/>
        <v>0</v>
      </c>
      <c r="F25" s="244">
        <f t="shared" si="5"/>
        <v>0.61319905293144084</v>
      </c>
      <c r="G25" s="251"/>
      <c r="H25" s="244" t="str">
        <f t="shared" si="0"/>
        <v/>
      </c>
      <c r="I25" s="258">
        <f t="shared" si="9"/>
        <v>0.60278238626477421</v>
      </c>
      <c r="J25" s="256">
        <f t="shared" si="10"/>
        <v>0.61319905293144084</v>
      </c>
      <c r="K25" s="244">
        <f t="shared" si="11"/>
        <v>0.65833794182032968</v>
      </c>
      <c r="L25" s="259" t="s">
        <v>295</v>
      </c>
      <c r="M25" s="49" t="s">
        <v>409</v>
      </c>
      <c r="N25" s="322"/>
      <c r="O25" s="322"/>
      <c r="P25" s="324" t="s">
        <v>384</v>
      </c>
      <c r="Q25" s="323"/>
    </row>
    <row r="26" spans="1:33" x14ac:dyDescent="0.25">
      <c r="A26" s="264" t="s">
        <v>139</v>
      </c>
      <c r="B26" s="247"/>
      <c r="C26" s="269">
        <f>SUM(C11:C25)</f>
        <v>119.95</v>
      </c>
      <c r="D26" s="248"/>
      <c r="E26" s="270">
        <f>SUM(E11:E25)</f>
        <v>162.00663622127487</v>
      </c>
      <c r="F26" s="249"/>
      <c r="G26" s="247"/>
      <c r="H26" s="249"/>
      <c r="I26" s="247"/>
      <c r="J26" s="248"/>
      <c r="K26" s="249"/>
      <c r="L26" s="247"/>
      <c r="M26" s="326"/>
      <c r="N26" s="327"/>
      <c r="O26" s="327"/>
      <c r="P26" s="327"/>
      <c r="Q26" s="328"/>
      <c r="R26"/>
    </row>
    <row r="27" spans="1:33" x14ac:dyDescent="0.25">
      <c r="A27" s="12"/>
      <c r="B27" s="12" t="s">
        <v>194</v>
      </c>
      <c r="C27" s="47">
        <f>РасстояниеВсего-C26</f>
        <v>0</v>
      </c>
      <c r="D27" s="12" t="s">
        <v>194</v>
      </c>
      <c r="E27" s="12">
        <f>ВремяВсего-E26</f>
        <v>-6.6362212748742877E-3</v>
      </c>
      <c r="N27" s="61"/>
      <c r="O27" s="61"/>
      <c r="Q27"/>
      <c r="R27"/>
    </row>
    <row r="28" spans="1:33" ht="75" x14ac:dyDescent="0.25">
      <c r="B28" s="12"/>
      <c r="C28" s="265" t="s">
        <v>159</v>
      </c>
      <c r="E28" s="12"/>
      <c r="F28" s="265" t="s">
        <v>159</v>
      </c>
      <c r="H28" s="265" t="s">
        <v>159</v>
      </c>
      <c r="N28" s="61"/>
      <c r="O28" s="61"/>
      <c r="Q28"/>
      <c r="R28"/>
    </row>
    <row r="30" spans="1:33" x14ac:dyDescent="0.25">
      <c r="A30" s="64" t="s">
        <v>168</v>
      </c>
      <c r="B30" s="64">
        <v>60</v>
      </c>
    </row>
    <row r="31" spans="1:33" x14ac:dyDescent="0.25">
      <c r="A31" s="64" t="s">
        <v>169</v>
      </c>
      <c r="B31" s="64">
        <v>120</v>
      </c>
    </row>
    <row r="32" spans="1:33" x14ac:dyDescent="0.25">
      <c r="A32" s="64" t="s">
        <v>170</v>
      </c>
      <c r="B32" s="64">
        <v>1800</v>
      </c>
    </row>
    <row r="33" spans="1:18" s="12" customFormat="1" x14ac:dyDescent="0.25">
      <c r="A33" s="64" t="s">
        <v>284</v>
      </c>
      <c r="B33" s="64">
        <v>1800</v>
      </c>
      <c r="P33" s="61"/>
      <c r="Q33" s="61"/>
      <c r="R33" s="61"/>
    </row>
    <row r="34" spans="1:18" s="12" customFormat="1" x14ac:dyDescent="0.25">
      <c r="A34" s="64" t="s">
        <v>182</v>
      </c>
      <c r="B34" s="64">
        <v>1000</v>
      </c>
      <c r="P34" s="61"/>
      <c r="Q34" s="61"/>
      <c r="R34" s="61"/>
    </row>
    <row r="35" spans="1:18" s="12" customFormat="1" x14ac:dyDescent="0.25">
      <c r="A35" s="64" t="s">
        <v>181</v>
      </c>
      <c r="B35" s="64">
        <v>120</v>
      </c>
      <c r="P35" s="61"/>
      <c r="Q35" s="61"/>
      <c r="R35" s="61"/>
    </row>
    <row r="36" spans="1:18" x14ac:dyDescent="0.25">
      <c r="A36" s="64" t="s">
        <v>171</v>
      </c>
      <c r="B36" s="64">
        <v>120</v>
      </c>
    </row>
    <row r="37" spans="1:18" x14ac:dyDescent="0.25">
      <c r="A37" s="64" t="s">
        <v>172</v>
      </c>
      <c r="B37" s="64">
        <v>120</v>
      </c>
    </row>
    <row r="38" spans="1:18" x14ac:dyDescent="0.25">
      <c r="A38" s="64" t="s">
        <v>183</v>
      </c>
      <c r="B38" s="64">
        <v>300</v>
      </c>
    </row>
    <row r="39" spans="1:18" s="12" customFormat="1" x14ac:dyDescent="0.25">
      <c r="A39" s="64" t="s">
        <v>184</v>
      </c>
      <c r="B39" s="64">
        <v>1000</v>
      </c>
      <c r="P39" s="61"/>
      <c r="Q39" s="61"/>
      <c r="R39" s="61"/>
    </row>
    <row r="40" spans="1:18" s="12" customFormat="1" x14ac:dyDescent="0.25">
      <c r="A40" s="64" t="s">
        <v>185</v>
      </c>
      <c r="B40" s="64">
        <v>180</v>
      </c>
      <c r="P40" s="61"/>
      <c r="Q40" s="61"/>
      <c r="R40" s="61"/>
    </row>
    <row r="41" spans="1:18" s="12" customFormat="1" x14ac:dyDescent="0.25">
      <c r="A41" s="64" t="s">
        <v>186</v>
      </c>
      <c r="B41" s="64">
        <v>60</v>
      </c>
      <c r="P41" s="61"/>
      <c r="Q41" s="61"/>
      <c r="R41" s="61"/>
    </row>
    <row r="42" spans="1:18" x14ac:dyDescent="0.25">
      <c r="A42" s="64" t="s">
        <v>179</v>
      </c>
      <c r="B42" s="64">
        <v>20</v>
      </c>
    </row>
    <row r="43" spans="1:18" x14ac:dyDescent="0.25">
      <c r="A43" s="64" t="s">
        <v>173</v>
      </c>
      <c r="B43" s="64">
        <v>1</v>
      </c>
    </row>
    <row r="44" spans="1:18" x14ac:dyDescent="0.25">
      <c r="A44" s="64" t="s">
        <v>174</v>
      </c>
      <c r="B44" s="64">
        <v>180</v>
      </c>
    </row>
    <row r="45" spans="1:18" x14ac:dyDescent="0.25">
      <c r="A45" s="64" t="s">
        <v>175</v>
      </c>
      <c r="B45" s="64">
        <v>1</v>
      </c>
    </row>
    <row r="46" spans="1:18" x14ac:dyDescent="0.25">
      <c r="A46" s="64" t="s">
        <v>180</v>
      </c>
      <c r="B46" s="64">
        <v>1</v>
      </c>
    </row>
    <row r="47" spans="1:18" x14ac:dyDescent="0.25">
      <c r="A47" s="64" t="s">
        <v>176</v>
      </c>
      <c r="B47" s="64">
        <v>20</v>
      </c>
      <c r="C47"/>
      <c r="D47"/>
      <c r="F47"/>
      <c r="G47"/>
      <c r="H47"/>
      <c r="I47"/>
      <c r="J47"/>
      <c r="K47"/>
      <c r="L47"/>
      <c r="M47"/>
      <c r="N47"/>
      <c r="P47"/>
      <c r="Q47"/>
      <c r="R47"/>
    </row>
    <row r="48" spans="1:18" x14ac:dyDescent="0.25">
      <c r="A48" s="64" t="s">
        <v>177</v>
      </c>
      <c r="B48" s="64">
        <v>10</v>
      </c>
      <c r="C48"/>
      <c r="D48"/>
      <c r="F48"/>
      <c r="G48"/>
      <c r="H48"/>
      <c r="I48"/>
      <c r="J48"/>
      <c r="K48"/>
      <c r="L48"/>
      <c r="M48"/>
      <c r="N48"/>
      <c r="P48"/>
      <c r="Q48"/>
      <c r="R48"/>
    </row>
    <row r="49" spans="1:18" x14ac:dyDescent="0.25">
      <c r="A49" s="64" t="s">
        <v>178</v>
      </c>
      <c r="B49" s="64">
        <v>20</v>
      </c>
      <c r="C49"/>
      <c r="D49"/>
      <c r="F49"/>
      <c r="G49"/>
      <c r="H49"/>
      <c r="I49"/>
      <c r="J49"/>
      <c r="K49"/>
      <c r="L49"/>
      <c r="M49"/>
      <c r="N49"/>
      <c r="P49"/>
      <c r="Q49"/>
      <c r="R49"/>
    </row>
  </sheetData>
  <mergeCells count="3">
    <mergeCell ref="B9:F9"/>
    <mergeCell ref="G9:H9"/>
    <mergeCell ref="I9:Q9"/>
  </mergeCells>
  <pageMargins left="0.7" right="0.7" top="0.75" bottom="0.75" header="0.3" footer="0.3"/>
  <pageSetup paperSize="9" scale="49" orientation="landscape" horizontalDpi="300" r:id="rId1"/>
  <ignoredErrors>
    <ignoredError sqref="K1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1"/>
  <sheetViews>
    <sheetView view="pageBreakPreview" zoomScaleNormal="55" zoomScaleSheetLayoutView="100" workbookViewId="0">
      <selection sqref="A1:J1"/>
    </sheetView>
  </sheetViews>
  <sheetFormatPr defaultRowHeight="15" x14ac:dyDescent="0.25"/>
  <cols>
    <col min="1" max="3" width="9.140625" style="12"/>
    <col min="4" max="9" width="9.85546875" style="12" customWidth="1"/>
    <col min="10" max="10" width="8" style="12" customWidth="1"/>
    <col min="11" max="16384" width="9.140625" style="12"/>
  </cols>
  <sheetData>
    <row r="1" spans="1:10" ht="18.75" x14ac:dyDescent="0.25">
      <c r="A1" s="473" t="s">
        <v>6</v>
      </c>
      <c r="B1" s="473"/>
      <c r="C1" s="473"/>
      <c r="D1" s="473"/>
      <c r="E1" s="473"/>
      <c r="F1" s="473"/>
      <c r="G1" s="473"/>
      <c r="H1" s="473"/>
      <c r="I1" s="473"/>
      <c r="J1" s="473"/>
    </row>
    <row r="2" spans="1:10" ht="18.75" x14ac:dyDescent="0.25">
      <c r="A2" s="473" t="s">
        <v>167</v>
      </c>
      <c r="B2" s="473"/>
      <c r="C2" s="473"/>
      <c r="D2" s="473"/>
      <c r="E2" s="473"/>
      <c r="F2" s="473"/>
      <c r="G2" s="473"/>
      <c r="H2" s="473"/>
      <c r="I2" s="473"/>
      <c r="J2" s="473"/>
    </row>
    <row r="3" spans="1:10" ht="3" customHeight="1" x14ac:dyDescent="0.25">
      <c r="A3" s="14"/>
      <c r="B3" s="14"/>
      <c r="C3" s="14"/>
      <c r="D3" s="14"/>
    </row>
    <row r="4" spans="1:10" ht="18.75" x14ac:dyDescent="0.25">
      <c r="A4" s="473" t="s">
        <v>188</v>
      </c>
      <c r="B4" s="473"/>
      <c r="C4" s="473"/>
      <c r="D4" s="473"/>
      <c r="E4" s="473"/>
      <c r="F4" s="473"/>
      <c r="G4" s="473"/>
      <c r="H4" s="473"/>
      <c r="I4" s="473"/>
      <c r="J4" s="473"/>
    </row>
    <row r="5" spans="1:10" ht="3" customHeight="1" x14ac:dyDescent="0.25">
      <c r="A5" s="14"/>
      <c r="B5" s="14"/>
      <c r="C5" s="14"/>
      <c r="D5" s="14"/>
    </row>
    <row r="6" spans="1:10" ht="18.75" x14ac:dyDescent="0.25">
      <c r="A6" s="473" t="s">
        <v>152</v>
      </c>
      <c r="B6" s="473"/>
      <c r="C6" s="473"/>
      <c r="D6" s="473"/>
      <c r="E6" s="473"/>
      <c r="F6" s="473"/>
      <c r="G6" s="473"/>
      <c r="H6" s="473"/>
      <c r="I6" s="473"/>
      <c r="J6" s="473"/>
    </row>
    <row r="7" spans="1:10" ht="30" customHeight="1" x14ac:dyDescent="0.25">
      <c r="A7" s="485"/>
      <c r="B7" s="486"/>
      <c r="C7" s="487"/>
      <c r="D7" s="474" t="s">
        <v>53</v>
      </c>
      <c r="E7" s="474"/>
      <c r="F7" s="474"/>
      <c r="G7" s="474"/>
      <c r="H7" s="474"/>
      <c r="I7" s="474"/>
      <c r="J7" s="474"/>
    </row>
    <row r="8" spans="1:10" ht="30" customHeight="1" x14ac:dyDescent="0.25">
      <c r="A8" s="476"/>
      <c r="B8" s="477"/>
      <c r="C8" s="478"/>
      <c r="D8" s="475" t="s">
        <v>54</v>
      </c>
      <c r="E8" s="475"/>
      <c r="F8" s="475"/>
      <c r="G8" s="475"/>
      <c r="H8" s="475"/>
      <c r="I8" s="475"/>
      <c r="J8" s="475"/>
    </row>
    <row r="9" spans="1:10" ht="30" customHeight="1" x14ac:dyDescent="0.25">
      <c r="A9" s="476"/>
      <c r="B9" s="477"/>
      <c r="C9" s="478"/>
      <c r="D9" s="475" t="s">
        <v>49</v>
      </c>
      <c r="E9" s="475"/>
      <c r="F9" s="475"/>
      <c r="G9" s="475"/>
      <c r="H9" s="475"/>
      <c r="I9" s="475"/>
      <c r="J9" s="475"/>
    </row>
    <row r="10" spans="1:10" ht="30" customHeight="1" x14ac:dyDescent="0.25">
      <c r="A10" s="476"/>
      <c r="B10" s="477"/>
      <c r="C10" s="478"/>
      <c r="D10" s="475" t="s">
        <v>86</v>
      </c>
      <c r="E10" s="475"/>
      <c r="F10" s="475"/>
      <c r="G10" s="475"/>
      <c r="H10" s="475"/>
      <c r="I10" s="475"/>
      <c r="J10" s="475"/>
    </row>
    <row r="11" spans="1:10" ht="30" customHeight="1" x14ac:dyDescent="0.25">
      <c r="A11" s="476"/>
      <c r="B11" s="477"/>
      <c r="C11" s="478"/>
      <c r="D11" s="471" t="s">
        <v>61</v>
      </c>
      <c r="E11" s="471"/>
      <c r="F11" s="471"/>
      <c r="G11" s="471"/>
      <c r="H11" s="471"/>
      <c r="I11" s="471"/>
      <c r="J11" s="471"/>
    </row>
    <row r="12" spans="1:10" ht="30" customHeight="1" x14ac:dyDescent="0.25">
      <c r="A12" s="488" t="s">
        <v>191</v>
      </c>
      <c r="B12" s="489"/>
      <c r="C12" s="490"/>
      <c r="D12" s="471" t="s">
        <v>192</v>
      </c>
      <c r="E12" s="471"/>
      <c r="F12" s="471"/>
      <c r="G12" s="471"/>
      <c r="H12" s="471"/>
      <c r="I12" s="471"/>
      <c r="J12" s="471"/>
    </row>
    <row r="13" spans="1:10" ht="30" customHeight="1" x14ac:dyDescent="0.25">
      <c r="A13" s="491" t="s">
        <v>195</v>
      </c>
      <c r="B13" s="492"/>
      <c r="C13" s="493"/>
      <c r="D13" s="482" t="s">
        <v>197</v>
      </c>
      <c r="E13" s="483"/>
      <c r="F13" s="483"/>
      <c r="G13" s="483"/>
      <c r="H13" s="483"/>
      <c r="I13" s="483"/>
      <c r="J13" s="484"/>
    </row>
    <row r="14" spans="1:10" ht="30" customHeight="1" x14ac:dyDescent="0.25">
      <c r="A14" s="476"/>
      <c r="B14" s="477"/>
      <c r="C14" s="478"/>
      <c r="D14" s="471" t="s">
        <v>48</v>
      </c>
      <c r="E14" s="471"/>
      <c r="F14" s="471"/>
      <c r="G14" s="471"/>
      <c r="H14" s="471"/>
      <c r="I14" s="471"/>
      <c r="J14" s="471"/>
    </row>
    <row r="15" spans="1:10" ht="30" customHeight="1" x14ac:dyDescent="0.25">
      <c r="A15" s="476"/>
      <c r="B15" s="477"/>
      <c r="C15" s="478"/>
      <c r="D15" s="471" t="s">
        <v>50</v>
      </c>
      <c r="E15" s="471"/>
      <c r="F15" s="471"/>
      <c r="G15" s="471"/>
      <c r="H15" s="471"/>
      <c r="I15" s="471"/>
      <c r="J15" s="471"/>
    </row>
    <row r="16" spans="1:10" ht="30" customHeight="1" x14ac:dyDescent="0.25">
      <c r="A16" s="476"/>
      <c r="B16" s="477"/>
      <c r="C16" s="478"/>
      <c r="D16" s="471" t="s">
        <v>51</v>
      </c>
      <c r="E16" s="471"/>
      <c r="F16" s="471"/>
      <c r="G16" s="471"/>
      <c r="H16" s="471"/>
      <c r="I16" s="471"/>
      <c r="J16" s="471"/>
    </row>
    <row r="17" spans="1:10" ht="30" customHeight="1" x14ac:dyDescent="0.25">
      <c r="A17" s="476"/>
      <c r="B17" s="477"/>
      <c r="C17" s="478"/>
      <c r="D17" s="471" t="s">
        <v>58</v>
      </c>
      <c r="E17" s="471"/>
      <c r="F17" s="471"/>
      <c r="G17" s="471"/>
      <c r="H17" s="471"/>
      <c r="I17" s="471"/>
      <c r="J17" s="471"/>
    </row>
    <row r="18" spans="1:10" ht="30" customHeight="1" x14ac:dyDescent="0.25">
      <c r="A18" s="476"/>
      <c r="B18" s="477"/>
      <c r="C18" s="478"/>
      <c r="D18" s="471" t="s">
        <v>87</v>
      </c>
      <c r="E18" s="471"/>
      <c r="F18" s="471"/>
      <c r="G18" s="471"/>
      <c r="H18" s="471"/>
      <c r="I18" s="471"/>
      <c r="J18" s="471"/>
    </row>
    <row r="19" spans="1:10" ht="30" customHeight="1" x14ac:dyDescent="0.25">
      <c r="A19" s="476"/>
      <c r="B19" s="477"/>
      <c r="C19" s="478"/>
      <c r="D19" s="471" t="s">
        <v>94</v>
      </c>
      <c r="E19" s="471"/>
      <c r="F19" s="471"/>
      <c r="G19" s="471"/>
      <c r="H19" s="471"/>
      <c r="I19" s="471"/>
      <c r="J19" s="471"/>
    </row>
    <row r="20" spans="1:10" ht="30" customHeight="1" x14ac:dyDescent="0.25">
      <c r="A20" s="476"/>
      <c r="B20" s="477"/>
      <c r="C20" s="478"/>
      <c r="D20" s="471" t="s">
        <v>95</v>
      </c>
      <c r="E20" s="471"/>
      <c r="F20" s="471"/>
      <c r="G20" s="471"/>
      <c r="H20" s="471"/>
      <c r="I20" s="471"/>
      <c r="J20" s="471"/>
    </row>
    <row r="21" spans="1:10" ht="30" customHeight="1" x14ac:dyDescent="0.25">
      <c r="A21" s="476"/>
      <c r="B21" s="477"/>
      <c r="C21" s="478"/>
      <c r="D21" s="471" t="s">
        <v>196</v>
      </c>
      <c r="E21" s="471"/>
      <c r="F21" s="471"/>
      <c r="G21" s="471"/>
      <c r="H21" s="471"/>
      <c r="I21" s="471"/>
      <c r="J21" s="471"/>
    </row>
    <row r="22" spans="1:10" ht="30" customHeight="1" x14ac:dyDescent="0.25">
      <c r="A22" s="479"/>
      <c r="B22" s="480"/>
      <c r="C22" s="481"/>
      <c r="D22" s="472" t="s">
        <v>90</v>
      </c>
      <c r="E22" s="472"/>
      <c r="F22" s="472"/>
      <c r="G22" s="472"/>
      <c r="H22" s="472"/>
      <c r="I22" s="472"/>
      <c r="J22" s="472"/>
    </row>
    <row r="23" spans="1:10" ht="3" customHeight="1" x14ac:dyDescent="0.25">
      <c r="A23" s="14"/>
      <c r="B23" s="14"/>
      <c r="C23" s="14"/>
      <c r="D23" s="14"/>
    </row>
    <row r="24" spans="1:10" ht="18.75" x14ac:dyDescent="0.25">
      <c r="A24" s="473" t="s">
        <v>52</v>
      </c>
      <c r="B24" s="473"/>
      <c r="C24" s="473"/>
      <c r="D24" s="473"/>
      <c r="E24" s="473"/>
      <c r="F24" s="473"/>
      <c r="G24" s="473"/>
      <c r="H24" s="473"/>
      <c r="I24" s="473"/>
      <c r="J24" s="473"/>
    </row>
    <row r="25" spans="1:10" ht="30" customHeight="1" x14ac:dyDescent="0.25">
      <c r="A25" s="485"/>
      <c r="B25" s="486"/>
      <c r="C25" s="487"/>
      <c r="D25" s="474" t="s">
        <v>55</v>
      </c>
      <c r="E25" s="474"/>
      <c r="F25" s="474"/>
      <c r="G25" s="474"/>
      <c r="H25" s="474"/>
      <c r="I25" s="474"/>
      <c r="J25" s="474"/>
    </row>
    <row r="26" spans="1:10" ht="30" customHeight="1" x14ac:dyDescent="0.25">
      <c r="A26" s="476"/>
      <c r="B26" s="477"/>
      <c r="C26" s="478"/>
      <c r="D26" s="475" t="s">
        <v>56</v>
      </c>
      <c r="E26" s="475"/>
      <c r="F26" s="475"/>
      <c r="G26" s="475"/>
      <c r="H26" s="475"/>
      <c r="I26" s="475"/>
      <c r="J26" s="475"/>
    </row>
    <row r="27" spans="1:10" ht="30" customHeight="1" x14ac:dyDescent="0.25">
      <c r="A27" s="476"/>
      <c r="B27" s="477"/>
      <c r="C27" s="478"/>
      <c r="D27" s="475" t="s">
        <v>59</v>
      </c>
      <c r="E27" s="475"/>
      <c r="F27" s="475"/>
      <c r="G27" s="475"/>
      <c r="H27" s="475"/>
      <c r="I27" s="475"/>
      <c r="J27" s="475"/>
    </row>
    <row r="28" spans="1:10" ht="30" customHeight="1" x14ac:dyDescent="0.25">
      <c r="A28" s="476"/>
      <c r="B28" s="477"/>
      <c r="C28" s="478"/>
      <c r="D28" s="475" t="s">
        <v>60</v>
      </c>
      <c r="E28" s="475"/>
      <c r="F28" s="475"/>
      <c r="G28" s="475"/>
      <c r="H28" s="475"/>
      <c r="I28" s="475"/>
      <c r="J28" s="475"/>
    </row>
    <row r="29" spans="1:10" ht="30" customHeight="1" x14ac:dyDescent="0.25">
      <c r="A29" s="476"/>
      <c r="B29" s="477"/>
      <c r="C29" s="478"/>
      <c r="D29" s="471" t="s">
        <v>89</v>
      </c>
      <c r="E29" s="471"/>
      <c r="F29" s="471"/>
      <c r="G29" s="471"/>
      <c r="H29" s="471"/>
      <c r="I29" s="471"/>
      <c r="J29" s="471"/>
    </row>
    <row r="30" spans="1:10" ht="30" customHeight="1" x14ac:dyDescent="0.25">
      <c r="A30" s="476"/>
      <c r="B30" s="477"/>
      <c r="C30" s="478"/>
      <c r="D30" s="471" t="s">
        <v>57</v>
      </c>
      <c r="E30" s="471"/>
      <c r="F30" s="471"/>
      <c r="G30" s="471"/>
      <c r="H30" s="471"/>
      <c r="I30" s="471"/>
      <c r="J30" s="471"/>
    </row>
    <row r="31" spans="1:10" ht="30" customHeight="1" x14ac:dyDescent="0.25">
      <c r="A31" s="479"/>
      <c r="B31" s="480"/>
      <c r="C31" s="481"/>
      <c r="D31" s="472" t="s">
        <v>234</v>
      </c>
      <c r="E31" s="472"/>
      <c r="F31" s="472"/>
      <c r="G31" s="472"/>
      <c r="H31" s="472"/>
      <c r="I31" s="472"/>
      <c r="J31" s="472"/>
    </row>
  </sheetData>
  <mergeCells count="51">
    <mergeCell ref="A31:C31"/>
    <mergeCell ref="D31:J31"/>
    <mergeCell ref="A28:C28"/>
    <mergeCell ref="D28:J28"/>
    <mergeCell ref="A29:C29"/>
    <mergeCell ref="D29:J29"/>
    <mergeCell ref="A30:C30"/>
    <mergeCell ref="D30:J30"/>
    <mergeCell ref="A27:C27"/>
    <mergeCell ref="D27:J27"/>
    <mergeCell ref="A20:C20"/>
    <mergeCell ref="D20:J20"/>
    <mergeCell ref="A21:C21"/>
    <mergeCell ref="D21:J21"/>
    <mergeCell ref="A22:C22"/>
    <mergeCell ref="D22:J22"/>
    <mergeCell ref="A24:J24"/>
    <mergeCell ref="A25:C25"/>
    <mergeCell ref="D25:J25"/>
    <mergeCell ref="A26:C26"/>
    <mergeCell ref="D26:J26"/>
    <mergeCell ref="A17:C17"/>
    <mergeCell ref="D17:J17"/>
    <mergeCell ref="A18:C18"/>
    <mergeCell ref="D18:J18"/>
    <mergeCell ref="A19:C19"/>
    <mergeCell ref="D19:J19"/>
    <mergeCell ref="A14:C14"/>
    <mergeCell ref="D14:J14"/>
    <mergeCell ref="A15:C15"/>
    <mergeCell ref="D15:J15"/>
    <mergeCell ref="A16:C16"/>
    <mergeCell ref="D16:J16"/>
    <mergeCell ref="A11:C11"/>
    <mergeCell ref="D11:J11"/>
    <mergeCell ref="A12:C12"/>
    <mergeCell ref="D12:J12"/>
    <mergeCell ref="A13:C13"/>
    <mergeCell ref="D13:J13"/>
    <mergeCell ref="A8:C8"/>
    <mergeCell ref="D8:J8"/>
    <mergeCell ref="A9:C9"/>
    <mergeCell ref="D9:J9"/>
    <mergeCell ref="A10:C10"/>
    <mergeCell ref="D10:J10"/>
    <mergeCell ref="A1:J1"/>
    <mergeCell ref="A2:J2"/>
    <mergeCell ref="A4:J4"/>
    <mergeCell ref="A6:J6"/>
    <mergeCell ref="A7:C7"/>
    <mergeCell ref="D7:J7"/>
  </mergeCells>
  <pageMargins left="0.39370078740157483" right="0.39370078740157483" top="0.39370078740157483" bottom="0.39370078740157483" header="0" footer="0.39370078740157483"/>
  <pageSetup paperSize="9" orientation="portrait" r:id="rId1"/>
  <headerFooter differentFirst="1">
    <oddFooter>Страница  &amp;P из &amp;N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"/>
  <sheetViews>
    <sheetView view="pageBreakPreview" zoomScaleNormal="70" zoomScaleSheetLayoutView="100" zoomScalePageLayoutView="40" workbookViewId="0"/>
  </sheetViews>
  <sheetFormatPr defaultRowHeight="15" x14ac:dyDescent="0.25"/>
  <cols>
    <col min="1" max="1" width="5.7109375" style="12" customWidth="1"/>
    <col min="2" max="3" width="8.7109375" style="12" customWidth="1"/>
    <col min="4" max="4" width="23.7109375" style="12" customWidth="1"/>
    <col min="5" max="5" width="20.7109375" style="12" customWidth="1"/>
    <col min="6" max="6" width="16.7109375" style="12" customWidth="1"/>
    <col min="7" max="7" width="9.28515625" style="12" customWidth="1"/>
    <col min="8" max="9" width="9.140625" style="12"/>
    <col min="10" max="10" width="8" style="12" customWidth="1"/>
    <col min="11" max="16384" width="9.140625" style="12"/>
  </cols>
  <sheetData>
    <row r="1" spans="1:7" ht="17.45" customHeight="1" x14ac:dyDescent="0.25">
      <c r="A1" s="2" t="s">
        <v>235</v>
      </c>
      <c r="B1" s="3"/>
      <c r="C1" s="4"/>
      <c r="D1" s="526" t="str">
        <f>НазваниеКраткое</f>
        <v>Skoda Rally Weekend - 2017</v>
      </c>
      <c r="E1" s="527"/>
      <c r="F1" s="86" t="s">
        <v>8</v>
      </c>
      <c r="G1" s="87">
        <f>КВ1Расстояние</f>
        <v>38.92</v>
      </c>
    </row>
    <row r="2" spans="1:7" ht="17.45" customHeight="1" x14ac:dyDescent="0.25">
      <c r="A2" s="5"/>
      <c r="B2" s="6"/>
      <c r="C2" s="7"/>
      <c r="D2" s="526" t="str">
        <f>КВ0</f>
        <v>КВ-0 Старт Skoda</v>
      </c>
      <c r="E2" s="527"/>
      <c r="F2" s="86" t="s">
        <v>10</v>
      </c>
      <c r="G2" s="173">
        <f>КВ1Время</f>
        <v>60</v>
      </c>
    </row>
    <row r="3" spans="1:7" ht="17.45" customHeight="1" x14ac:dyDescent="0.25">
      <c r="A3" s="5"/>
      <c r="B3" s="6"/>
      <c r="C3" s="7"/>
      <c r="D3" s="526" t="str">
        <f>КВ1</f>
        <v>КВ-1 М1</v>
      </c>
      <c r="E3" s="527"/>
      <c r="F3" s="86" t="s">
        <v>9</v>
      </c>
      <c r="G3" s="87">
        <f>КВ1Скорость</f>
        <v>38.92</v>
      </c>
    </row>
    <row r="4" spans="1:7" ht="17.45" customHeight="1" x14ac:dyDescent="0.25">
      <c r="A4" s="1" t="s">
        <v>0</v>
      </c>
      <c r="B4" s="1" t="s">
        <v>1</v>
      </c>
      <c r="C4" s="1" t="s">
        <v>2</v>
      </c>
      <c r="D4" s="1" t="s">
        <v>3</v>
      </c>
      <c r="E4" s="498" t="s">
        <v>4</v>
      </c>
      <c r="F4" s="499"/>
      <c r="G4" s="1" t="s">
        <v>5</v>
      </c>
    </row>
    <row r="5" spans="1:7" ht="120" customHeight="1" x14ac:dyDescent="0.35">
      <c r="A5" s="8">
        <v>1</v>
      </c>
      <c r="B5" s="85"/>
      <c r="C5" s="84"/>
      <c r="D5" s="272"/>
      <c r="E5" s="502" t="str">
        <f>КВ0</f>
        <v>КВ-0 Старт Skoda</v>
      </c>
      <c r="F5" s="503"/>
      <c r="G5" s="84"/>
    </row>
    <row r="6" spans="1:7" ht="240" customHeight="1" x14ac:dyDescent="0.25">
      <c r="A6" s="8">
        <f>1+A5</f>
        <v>2</v>
      </c>
      <c r="B6" s="85">
        <v>0</v>
      </c>
      <c r="C6" s="84">
        <f t="shared" ref="C6" si="0">B6-B5</f>
        <v>0</v>
      </c>
      <c r="D6" s="321"/>
      <c r="E6" s="500"/>
      <c r="F6" s="501"/>
      <c r="G6" s="84">
        <f t="shared" ref="G6" si="1">КВ1Расстояние-B6</f>
        <v>38.92</v>
      </c>
    </row>
    <row r="7" spans="1:7" ht="120" customHeight="1" x14ac:dyDescent="0.25">
      <c r="A7" s="171"/>
      <c r="B7" s="276"/>
      <c r="C7" s="277"/>
      <c r="D7" s="171"/>
      <c r="E7" s="494"/>
      <c r="F7" s="494"/>
      <c r="G7" s="277"/>
    </row>
    <row r="8" spans="1:7" ht="120" customHeight="1" x14ac:dyDescent="0.25">
      <c r="A8" s="90"/>
      <c r="B8" s="278"/>
      <c r="C8" s="279"/>
      <c r="D8" s="90"/>
      <c r="E8" s="495"/>
      <c r="F8" s="495"/>
      <c r="G8" s="279"/>
    </row>
    <row r="9" spans="1:7" ht="120" customHeight="1" x14ac:dyDescent="0.25">
      <c r="A9" s="90"/>
      <c r="B9" s="278"/>
      <c r="C9" s="279"/>
      <c r="D9" s="90"/>
      <c r="E9" s="495"/>
      <c r="F9" s="495"/>
      <c r="G9" s="279"/>
    </row>
  </sheetData>
  <mergeCells count="9">
    <mergeCell ref="E7:F7"/>
    <mergeCell ref="E8:F8"/>
    <mergeCell ref="E9:F9"/>
    <mergeCell ref="D1:E1"/>
    <mergeCell ref="D2:E2"/>
    <mergeCell ref="D3:E3"/>
    <mergeCell ref="E4:F4"/>
    <mergeCell ref="E5:F5"/>
    <mergeCell ref="E6:F6"/>
  </mergeCells>
  <pageMargins left="0.39370078740157483" right="0.39370078740157483" top="0.39370078740157483" bottom="0.39370078740157483" header="0" footer="0.39370078740157483"/>
  <pageSetup paperSize="9" firstPageNumber="3" orientation="portrait" r:id="rId1"/>
  <headerFooter differentFirst="1">
    <oddFooter>Страница  &amp;P из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"/>
  <sheetViews>
    <sheetView view="pageBreakPreview" zoomScaleNormal="70" zoomScaleSheetLayoutView="100" zoomScalePageLayoutView="40" workbookViewId="0"/>
  </sheetViews>
  <sheetFormatPr defaultRowHeight="15" x14ac:dyDescent="0.25"/>
  <cols>
    <col min="1" max="4" width="23.7109375" style="12" customWidth="1"/>
    <col min="5" max="16384" width="9.140625" style="12"/>
  </cols>
  <sheetData>
    <row r="1" spans="1:4" ht="17.45" customHeight="1" x14ac:dyDescent="0.25">
      <c r="A1" s="2" t="s">
        <v>235</v>
      </c>
      <c r="B1" s="266" t="str">
        <f>НазваниеКраткое</f>
        <v>Skoda Rally Weekend - 2017</v>
      </c>
      <c r="C1" s="86" t="s">
        <v>8</v>
      </c>
      <c r="D1" s="87">
        <f>КВ1Расстояние</f>
        <v>38.92</v>
      </c>
    </row>
    <row r="2" spans="1:4" ht="17.45" customHeight="1" x14ac:dyDescent="0.25">
      <c r="A2" s="5"/>
      <c r="B2" s="266" t="str">
        <f>КВ0</f>
        <v>КВ-0 Старт Skoda</v>
      </c>
      <c r="C2" s="86" t="s">
        <v>10</v>
      </c>
      <c r="D2" s="173">
        <f>КВ1Время</f>
        <v>60</v>
      </c>
    </row>
    <row r="3" spans="1:4" ht="17.45" customHeight="1" x14ac:dyDescent="0.25">
      <c r="A3" s="5"/>
      <c r="B3" s="266" t="str">
        <f>КВ1</f>
        <v>КВ-1 М1</v>
      </c>
      <c r="C3" s="86" t="s">
        <v>9</v>
      </c>
      <c r="D3" s="87">
        <f>КВ1Скорость</f>
        <v>38.92</v>
      </c>
    </row>
    <row r="4" spans="1:4" ht="120" customHeight="1" x14ac:dyDescent="0.25">
      <c r="A4" s="528" t="s">
        <v>337</v>
      </c>
      <c r="B4" s="529"/>
      <c r="C4" s="529"/>
      <c r="D4" s="530"/>
    </row>
    <row r="5" spans="1:4" ht="120" customHeight="1" x14ac:dyDescent="0.25">
      <c r="A5" s="280">
        <v>4</v>
      </c>
      <c r="B5" s="281">
        <v>15</v>
      </c>
      <c r="C5" s="282">
        <v>10</v>
      </c>
      <c r="D5" s="280">
        <v>5</v>
      </c>
    </row>
    <row r="6" spans="1:4" ht="120" customHeight="1" x14ac:dyDescent="0.25">
      <c r="A6" s="289"/>
      <c r="B6" s="280">
        <v>18</v>
      </c>
      <c r="C6" s="284" t="s">
        <v>347</v>
      </c>
      <c r="D6" s="283">
        <v>14</v>
      </c>
    </row>
    <row r="7" spans="1:4" ht="120" customHeight="1" x14ac:dyDescent="0.25">
      <c r="A7" s="280">
        <v>13</v>
      </c>
      <c r="B7" s="281">
        <v>3</v>
      </c>
      <c r="C7" s="282">
        <v>7</v>
      </c>
      <c r="D7" s="280">
        <v>9</v>
      </c>
    </row>
    <row r="8" spans="1:4" ht="120" customHeight="1" x14ac:dyDescent="0.25">
      <c r="A8" s="290">
        <v>6</v>
      </c>
      <c r="B8" s="280">
        <v>12</v>
      </c>
      <c r="C8" s="289"/>
      <c r="D8" s="280">
        <v>11</v>
      </c>
    </row>
    <row r="9" spans="1:4" ht="120" customHeight="1" x14ac:dyDescent="0.25">
      <c r="A9" s="289"/>
      <c r="B9" s="280">
        <v>8</v>
      </c>
      <c r="C9" s="280">
        <v>16</v>
      </c>
      <c r="D9" s="280">
        <v>17</v>
      </c>
    </row>
  </sheetData>
  <mergeCells count="1">
    <mergeCell ref="A4:D4"/>
  </mergeCells>
  <pageMargins left="0.39370078740157483" right="0.39370078740157483" top="0.39370078740157483" bottom="0.39370078740157483" header="0" footer="0.39370078740157483"/>
  <pageSetup paperSize="9" firstPageNumber="3" orientation="portrait" r:id="rId1"/>
  <headerFooter differentFirst="1">
    <oddFooter>Страница  &amp;P из &amp;N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view="pageBreakPreview" zoomScaleNormal="70" zoomScaleSheetLayoutView="100" zoomScalePageLayoutView="40" workbookViewId="0"/>
  </sheetViews>
  <sheetFormatPr defaultRowHeight="15" x14ac:dyDescent="0.25"/>
  <cols>
    <col min="1" max="1" width="5.7109375" style="12" customWidth="1"/>
    <col min="2" max="3" width="8.7109375" style="12" customWidth="1"/>
    <col min="4" max="4" width="23.7109375" style="12" customWidth="1"/>
    <col min="5" max="5" width="20.7109375" style="12" customWidth="1"/>
    <col min="6" max="6" width="16.7109375" style="12" customWidth="1"/>
    <col min="7" max="7" width="9.28515625" style="12" customWidth="1"/>
    <col min="8" max="9" width="9.140625" style="12"/>
    <col min="10" max="10" width="8" style="12" customWidth="1"/>
    <col min="11" max="16384" width="9.140625" style="12"/>
  </cols>
  <sheetData>
    <row r="1" spans="1:12" ht="17.45" customHeight="1" x14ac:dyDescent="0.25">
      <c r="A1" s="2" t="s">
        <v>235</v>
      </c>
      <c r="B1" s="3"/>
      <c r="C1" s="4"/>
      <c r="D1" s="526" t="str">
        <f>НазваниеКраткое</f>
        <v>Skoda Rally Weekend - 2017</v>
      </c>
      <c r="E1" s="527"/>
      <c r="F1" s="86" t="s">
        <v>8</v>
      </c>
      <c r="G1" s="87">
        <f>КВ1Расстояние</f>
        <v>38.92</v>
      </c>
    </row>
    <row r="2" spans="1:12" ht="17.45" customHeight="1" x14ac:dyDescent="0.25">
      <c r="A2" s="5"/>
      <c r="B2" s="6"/>
      <c r="C2" s="7"/>
      <c r="D2" s="526" t="str">
        <f>КВ0</f>
        <v>КВ-0 Старт Skoda</v>
      </c>
      <c r="E2" s="527"/>
      <c r="F2" s="86" t="s">
        <v>10</v>
      </c>
      <c r="G2" s="173">
        <f>КВ1Время</f>
        <v>60</v>
      </c>
    </row>
    <row r="3" spans="1:12" ht="17.45" customHeight="1" x14ac:dyDescent="0.25">
      <c r="A3" s="5"/>
      <c r="B3" s="6"/>
      <c r="C3" s="7"/>
      <c r="D3" s="526" t="str">
        <f>КВ1</f>
        <v>КВ-1 М1</v>
      </c>
      <c r="E3" s="527"/>
      <c r="F3" s="86" t="s">
        <v>9</v>
      </c>
      <c r="G3" s="87">
        <f>КВ1Скорость</f>
        <v>38.92</v>
      </c>
    </row>
    <row r="4" spans="1:12" ht="17.45" customHeight="1" x14ac:dyDescent="0.25">
      <c r="A4" s="1" t="s">
        <v>0</v>
      </c>
      <c r="B4" s="1" t="s">
        <v>1</v>
      </c>
      <c r="C4" s="1" t="s">
        <v>2</v>
      </c>
      <c r="D4" s="1" t="s">
        <v>3</v>
      </c>
      <c r="E4" s="498" t="s">
        <v>4</v>
      </c>
      <c r="F4" s="499"/>
      <c r="G4" s="1" t="s">
        <v>5</v>
      </c>
    </row>
    <row r="5" spans="1:12" ht="120" customHeight="1" x14ac:dyDescent="0.25">
      <c r="A5" s="273">
        <v>20</v>
      </c>
      <c r="B5" s="274">
        <v>7.77</v>
      </c>
      <c r="C5" s="275"/>
      <c r="D5" s="273"/>
      <c r="E5" s="507"/>
      <c r="F5" s="507"/>
      <c r="G5" s="275">
        <f t="shared" ref="G5:G14" si="0">КВ1Расстояние-B5</f>
        <v>31.150000000000002</v>
      </c>
    </row>
    <row r="6" spans="1:12" ht="120" customHeight="1" x14ac:dyDescent="0.25">
      <c r="A6" s="273">
        <f t="shared" ref="A6:A11" si="1">1+A5</f>
        <v>21</v>
      </c>
      <c r="B6" s="274">
        <v>8.98</v>
      </c>
      <c r="C6" s="275">
        <f t="shared" ref="C6:C14" si="2">B6-B5</f>
        <v>1.2100000000000009</v>
      </c>
      <c r="D6" s="273"/>
      <c r="E6" s="507"/>
      <c r="F6" s="507"/>
      <c r="G6" s="275">
        <f t="shared" si="0"/>
        <v>29.94</v>
      </c>
    </row>
    <row r="7" spans="1:12" ht="120" customHeight="1" x14ac:dyDescent="0.25">
      <c r="A7" s="273">
        <f t="shared" si="1"/>
        <v>22</v>
      </c>
      <c r="B7" s="274">
        <v>13.96</v>
      </c>
      <c r="C7" s="275">
        <f t="shared" si="2"/>
        <v>4.9800000000000004</v>
      </c>
      <c r="D7" s="273"/>
      <c r="E7" s="507"/>
      <c r="F7" s="507"/>
      <c r="G7" s="275">
        <f t="shared" si="0"/>
        <v>24.96</v>
      </c>
    </row>
    <row r="8" spans="1:12" ht="120" customHeight="1" x14ac:dyDescent="0.35">
      <c r="A8" s="273">
        <f t="shared" si="1"/>
        <v>23</v>
      </c>
      <c r="B8" s="274">
        <v>15.94</v>
      </c>
      <c r="C8" s="275">
        <f t="shared" si="2"/>
        <v>1.9799999999999986</v>
      </c>
      <c r="D8" s="273"/>
      <c r="E8" s="502" t="str">
        <f>ДС1&amp;" Старт"&amp;CHAR(10)&amp;"!!!БЕСКОНТАКТНЫЙ!!!"&amp;CHAR(10)&amp;"Vср=ПДД-10 км/ч"</f>
        <v>ДС-1 РД Старт
!!!БЕСКОНТАКТНЫЙ!!!
Vср=ПДД-10 км/ч</v>
      </c>
      <c r="F8" s="503"/>
      <c r="G8" s="275">
        <f t="shared" si="0"/>
        <v>22.980000000000004</v>
      </c>
    </row>
    <row r="9" spans="1:12" ht="120" customHeight="1" x14ac:dyDescent="0.25">
      <c r="A9" s="273">
        <f t="shared" si="1"/>
        <v>24</v>
      </c>
      <c r="B9" s="274">
        <v>20.57</v>
      </c>
      <c r="C9" s="275">
        <f t="shared" si="2"/>
        <v>4.6300000000000008</v>
      </c>
      <c r="D9" s="273"/>
      <c r="E9" s="507"/>
      <c r="F9" s="507"/>
      <c r="G9" s="275">
        <f t="shared" si="0"/>
        <v>18.350000000000001</v>
      </c>
    </row>
    <row r="10" spans="1:12" ht="120" customHeight="1" x14ac:dyDescent="0.25">
      <c r="A10" s="273">
        <f t="shared" si="1"/>
        <v>25</v>
      </c>
      <c r="B10" s="274">
        <v>20.95</v>
      </c>
      <c r="C10" s="275">
        <f t="shared" si="2"/>
        <v>0.37999999999999901</v>
      </c>
      <c r="D10" s="273"/>
      <c r="E10" s="511"/>
      <c r="F10" s="511"/>
      <c r="G10" s="275">
        <f t="shared" si="0"/>
        <v>17.970000000000002</v>
      </c>
    </row>
    <row r="11" spans="1:12" ht="120" customHeight="1" x14ac:dyDescent="0.25">
      <c r="A11" s="8">
        <f t="shared" si="1"/>
        <v>26</v>
      </c>
      <c r="B11" s="85">
        <v>32.659999999999997</v>
      </c>
      <c r="C11" s="275">
        <f t="shared" si="2"/>
        <v>11.709999999999997</v>
      </c>
      <c r="D11" s="8"/>
      <c r="E11" s="508"/>
      <c r="F11" s="508"/>
      <c r="G11" s="275">
        <f t="shared" si="0"/>
        <v>6.2600000000000051</v>
      </c>
    </row>
    <row r="12" spans="1:12" ht="120" customHeight="1" x14ac:dyDescent="0.25">
      <c r="A12" s="8">
        <f>1+A11</f>
        <v>27</v>
      </c>
      <c r="B12" s="85">
        <v>37.869999999999997</v>
      </c>
      <c r="C12" s="275">
        <f t="shared" si="2"/>
        <v>5.2100000000000009</v>
      </c>
      <c r="D12" s="8"/>
      <c r="E12" s="508"/>
      <c r="F12" s="508"/>
      <c r="G12" s="275">
        <f t="shared" si="0"/>
        <v>1.0500000000000043</v>
      </c>
    </row>
    <row r="13" spans="1:12" ht="120" customHeight="1" x14ac:dyDescent="0.25">
      <c r="A13" s="8">
        <f>1+A12</f>
        <v>28</v>
      </c>
      <c r="B13" s="85">
        <v>38.83</v>
      </c>
      <c r="C13" s="275">
        <f t="shared" si="2"/>
        <v>0.96000000000000085</v>
      </c>
      <c r="D13" s="8"/>
      <c r="E13" s="508"/>
      <c r="F13" s="508"/>
      <c r="G13" s="275">
        <f t="shared" si="0"/>
        <v>9.0000000000003411E-2</v>
      </c>
    </row>
    <row r="14" spans="1:12" ht="120" customHeight="1" x14ac:dyDescent="0.45">
      <c r="A14" s="8">
        <f>1+A12</f>
        <v>28</v>
      </c>
      <c r="B14" s="11">
        <v>38.92</v>
      </c>
      <c r="C14" s="275">
        <f t="shared" si="2"/>
        <v>9.0000000000003411E-2</v>
      </c>
      <c r="D14" s="8"/>
      <c r="E14" s="509" t="str">
        <f>КВ1</f>
        <v>КВ-1 М1</v>
      </c>
      <c r="F14" s="510"/>
      <c r="G14" s="275">
        <f t="shared" si="0"/>
        <v>0</v>
      </c>
      <c r="I14" s="47"/>
      <c r="L14" s="98"/>
    </row>
  </sheetData>
  <mergeCells count="14">
    <mergeCell ref="E13:F13"/>
    <mergeCell ref="E14:F14"/>
    <mergeCell ref="E7:F7"/>
    <mergeCell ref="E8:F8"/>
    <mergeCell ref="E9:F9"/>
    <mergeCell ref="E10:F10"/>
    <mergeCell ref="E11:F11"/>
    <mergeCell ref="E12:F12"/>
    <mergeCell ref="E6:F6"/>
    <mergeCell ref="D1:E1"/>
    <mergeCell ref="D2:E2"/>
    <mergeCell ref="D3:E3"/>
    <mergeCell ref="E4:F4"/>
    <mergeCell ref="E5:F5"/>
  </mergeCells>
  <pageMargins left="0.39370078740157483" right="0.39370078740157483" top="0.39370078740157483" bottom="0.39370078740157483" header="0" footer="0.39370078740157483"/>
  <pageSetup paperSize="9" firstPageNumber="3" orientation="portrait" r:id="rId1"/>
  <headerFooter differentFirst="1">
    <oddFooter>Страница  &amp;P из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"/>
  <sheetViews>
    <sheetView view="pageBreakPreview" topLeftCell="A10" zoomScaleNormal="70" zoomScaleSheetLayoutView="100" zoomScalePageLayoutView="40" workbookViewId="0"/>
  </sheetViews>
  <sheetFormatPr defaultRowHeight="15" x14ac:dyDescent="0.25"/>
  <cols>
    <col min="1" max="1" width="5.7109375" style="12" customWidth="1"/>
    <col min="2" max="3" width="8.7109375" style="12" customWidth="1"/>
    <col min="4" max="4" width="23.7109375" style="12" customWidth="1"/>
    <col min="5" max="5" width="20.7109375" style="12" customWidth="1"/>
    <col min="6" max="6" width="16.7109375" style="12" customWidth="1"/>
    <col min="7" max="7" width="9.28515625" style="12" customWidth="1"/>
    <col min="8" max="16384" width="9.140625" style="12"/>
  </cols>
  <sheetData>
    <row r="1" spans="1:7" ht="17.45" customHeight="1" x14ac:dyDescent="0.25">
      <c r="A1" s="2"/>
      <c r="B1" s="3"/>
      <c r="C1" s="4"/>
      <c r="D1" s="526" t="str">
        <f>НазваниеКраткое</f>
        <v>Skoda Rally Weekend - 2017</v>
      </c>
      <c r="E1" s="527"/>
      <c r="F1" s="86" t="s">
        <v>8</v>
      </c>
      <c r="G1" s="87">
        <f>КВ2Расстояние</f>
        <v>15.28</v>
      </c>
    </row>
    <row r="2" spans="1:7" ht="17.45" customHeight="1" x14ac:dyDescent="0.25">
      <c r="A2" s="5"/>
      <c r="B2" s="6"/>
      <c r="C2" s="7"/>
      <c r="D2" s="526" t="str">
        <f>КВ1</f>
        <v>КВ-1 М1</v>
      </c>
      <c r="E2" s="527"/>
      <c r="F2" s="86" t="s">
        <v>10</v>
      </c>
      <c r="G2" s="173">
        <f>КВ2Время</f>
        <v>25</v>
      </c>
    </row>
    <row r="3" spans="1:7" ht="17.45" customHeight="1" x14ac:dyDescent="0.25">
      <c r="A3" s="5"/>
      <c r="B3" s="6"/>
      <c r="C3" s="7"/>
      <c r="D3" s="526" t="str">
        <f>КВ2</f>
        <v>КВ-2 Окружная</v>
      </c>
      <c r="E3" s="527"/>
      <c r="F3" s="86" t="s">
        <v>9</v>
      </c>
      <c r="G3" s="87">
        <f>КВ2Скорость</f>
        <v>36.67</v>
      </c>
    </row>
    <row r="4" spans="1:7" ht="17.45" customHeight="1" x14ac:dyDescent="0.25">
      <c r="A4" s="1" t="s">
        <v>0</v>
      </c>
      <c r="B4" s="1" t="s">
        <v>1</v>
      </c>
      <c r="C4" s="1" t="s">
        <v>2</v>
      </c>
      <c r="D4" s="1" t="s">
        <v>3</v>
      </c>
      <c r="E4" s="498" t="s">
        <v>4</v>
      </c>
      <c r="F4" s="499"/>
      <c r="G4" s="1" t="s">
        <v>5</v>
      </c>
    </row>
    <row r="5" spans="1:7" ht="120" customHeight="1" x14ac:dyDescent="0.3">
      <c r="A5" s="8">
        <v>1</v>
      </c>
      <c r="B5" s="11">
        <v>0</v>
      </c>
      <c r="C5" s="9">
        <v>0</v>
      </c>
      <c r="D5" s="285"/>
      <c r="E5" s="512" t="str">
        <f>КВ1&amp;CHAR(10)&amp;ДС2&amp;" Старт"&amp;CHAR(10)&amp;"Норма времени "&amp;ДС2Время</f>
        <v>КВ-1 М1
ДС-2 РУ Старт
Норма времени по бюллетеню</v>
      </c>
      <c r="F5" s="512"/>
      <c r="G5" s="9">
        <f t="shared" ref="G5:G14" si="0">КВ2Расстояние-B5</f>
        <v>15.28</v>
      </c>
    </row>
    <row r="6" spans="1:7" ht="39.950000000000003" customHeight="1" x14ac:dyDescent="0.25">
      <c r="A6" s="8">
        <f t="shared" ref="A6:A14" si="1">1+A5</f>
        <v>2</v>
      </c>
      <c r="B6" s="11">
        <v>1.6</v>
      </c>
      <c r="C6" s="11">
        <f t="shared" ref="C6:C14" si="2">B6-B5</f>
        <v>1.6</v>
      </c>
      <c r="D6" s="292" t="s">
        <v>320</v>
      </c>
      <c r="E6" s="513" t="s">
        <v>323</v>
      </c>
      <c r="F6" s="513"/>
      <c r="G6" s="9">
        <f t="shared" si="0"/>
        <v>13.68</v>
      </c>
    </row>
    <row r="7" spans="1:7" ht="39.950000000000003" customHeight="1" x14ac:dyDescent="0.25">
      <c r="A7" s="8">
        <f t="shared" si="1"/>
        <v>3</v>
      </c>
      <c r="B7" s="11">
        <v>2.86</v>
      </c>
      <c r="C7" s="11">
        <f t="shared" si="2"/>
        <v>1.2599999999999998</v>
      </c>
      <c r="D7" s="292" t="s">
        <v>319</v>
      </c>
      <c r="E7" s="514" t="s">
        <v>324</v>
      </c>
      <c r="F7" s="514"/>
      <c r="G7" s="9">
        <f t="shared" si="0"/>
        <v>12.42</v>
      </c>
    </row>
    <row r="8" spans="1:7" ht="39.950000000000003" customHeight="1" x14ac:dyDescent="0.25">
      <c r="A8" s="8">
        <f t="shared" si="1"/>
        <v>4</v>
      </c>
      <c r="B8" s="11">
        <v>3.16</v>
      </c>
      <c r="C8" s="11">
        <f t="shared" si="2"/>
        <v>0.30000000000000027</v>
      </c>
      <c r="D8" s="292" t="s">
        <v>322</v>
      </c>
      <c r="E8" s="513" t="s">
        <v>325</v>
      </c>
      <c r="F8" s="513"/>
      <c r="G8" s="9">
        <f t="shared" si="0"/>
        <v>12.12</v>
      </c>
    </row>
    <row r="9" spans="1:7" ht="39.950000000000003" customHeight="1" x14ac:dyDescent="0.25">
      <c r="A9" s="8">
        <f t="shared" si="1"/>
        <v>5</v>
      </c>
      <c r="B9" s="11">
        <v>3.6</v>
      </c>
      <c r="C9" s="11">
        <f t="shared" si="2"/>
        <v>0.43999999999999995</v>
      </c>
      <c r="D9" s="292" t="s">
        <v>320</v>
      </c>
      <c r="E9" s="513" t="s">
        <v>326</v>
      </c>
      <c r="F9" s="513"/>
      <c r="G9" s="9">
        <f t="shared" si="0"/>
        <v>11.68</v>
      </c>
    </row>
    <row r="10" spans="1:7" ht="39.950000000000003" customHeight="1" x14ac:dyDescent="0.25">
      <c r="A10" s="8">
        <f t="shared" si="1"/>
        <v>6</v>
      </c>
      <c r="B10" s="11">
        <v>6.18</v>
      </c>
      <c r="C10" s="11">
        <f t="shared" si="2"/>
        <v>2.5799999999999996</v>
      </c>
      <c r="D10" s="292"/>
      <c r="E10" s="513"/>
      <c r="F10" s="513"/>
      <c r="G10" s="9">
        <f t="shared" si="0"/>
        <v>9.1</v>
      </c>
    </row>
    <row r="11" spans="1:7" ht="39.950000000000003" customHeight="1" x14ac:dyDescent="0.25">
      <c r="A11" s="8">
        <f>1+A10</f>
        <v>7</v>
      </c>
      <c r="B11" s="11">
        <v>8.26</v>
      </c>
      <c r="C11" s="11">
        <f t="shared" si="2"/>
        <v>2.08</v>
      </c>
      <c r="D11" s="292" t="s">
        <v>320</v>
      </c>
      <c r="E11" s="513" t="s">
        <v>338</v>
      </c>
      <c r="F11" s="513"/>
      <c r="G11" s="9">
        <f t="shared" si="0"/>
        <v>7.02</v>
      </c>
    </row>
    <row r="12" spans="1:7" ht="39.950000000000003" customHeight="1" x14ac:dyDescent="0.25">
      <c r="A12" s="8">
        <f>1+A11</f>
        <v>8</v>
      </c>
      <c r="B12" s="11">
        <v>9.9</v>
      </c>
      <c r="C12" s="11">
        <f t="shared" si="2"/>
        <v>1.6400000000000006</v>
      </c>
      <c r="D12" s="292" t="s">
        <v>320</v>
      </c>
      <c r="E12" s="513" t="s">
        <v>330</v>
      </c>
      <c r="F12" s="513"/>
      <c r="G12" s="9">
        <f t="shared" si="0"/>
        <v>5.379999999999999</v>
      </c>
    </row>
    <row r="13" spans="1:7" ht="120" customHeight="1" x14ac:dyDescent="0.35">
      <c r="A13" s="8">
        <f t="shared" si="1"/>
        <v>9</v>
      </c>
      <c r="B13" s="11">
        <v>11.94</v>
      </c>
      <c r="C13" s="11">
        <f t="shared" si="2"/>
        <v>2.0399999999999991</v>
      </c>
      <c r="D13" s="8"/>
      <c r="E13" s="509" t="str">
        <f>ДС2&amp;" Финиш !!!БЕСКОНТАКТНЫЙ!!!"</f>
        <v>ДС-2 РУ Финиш !!!БЕСКОНТАКТНЫЙ!!!</v>
      </c>
      <c r="F13" s="510"/>
      <c r="G13" s="9">
        <f t="shared" si="0"/>
        <v>3.34</v>
      </c>
    </row>
    <row r="14" spans="1:7" ht="120" customHeight="1" x14ac:dyDescent="0.35">
      <c r="A14" s="8">
        <f t="shared" si="1"/>
        <v>10</v>
      </c>
      <c r="B14" s="11">
        <v>15.28</v>
      </c>
      <c r="C14" s="11">
        <f t="shared" si="2"/>
        <v>3.34</v>
      </c>
      <c r="D14" s="8"/>
      <c r="E14" s="502" t="str">
        <f>КВ2</f>
        <v>КВ-2 Окружная</v>
      </c>
      <c r="F14" s="503"/>
      <c r="G14" s="9">
        <f t="shared" si="0"/>
        <v>0</v>
      </c>
    </row>
  </sheetData>
  <mergeCells count="14">
    <mergeCell ref="E13:F13"/>
    <mergeCell ref="E14:F14"/>
    <mergeCell ref="E7:F7"/>
    <mergeCell ref="E8:F8"/>
    <mergeCell ref="E9:F9"/>
    <mergeCell ref="E10:F10"/>
    <mergeCell ref="E11:F11"/>
    <mergeCell ref="E12:F12"/>
    <mergeCell ref="E6:F6"/>
    <mergeCell ref="D1:E1"/>
    <mergeCell ref="D2:E2"/>
    <mergeCell ref="D3:E3"/>
    <mergeCell ref="E4:F4"/>
    <mergeCell ref="E5:F5"/>
  </mergeCells>
  <pageMargins left="0.39370078740157483" right="0.39370078740157483" top="0.39370078740157483" bottom="0.39370078740157483" header="0" footer="0.39370078740157483"/>
  <pageSetup paperSize="9" firstPageNumber="3" orientation="portrait" r:id="rId1"/>
  <headerFooter differentFirst="1">
    <oddFooter>Страница  &amp;P из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view="pageBreakPreview" zoomScaleNormal="70" zoomScaleSheetLayoutView="100" zoomScalePageLayoutView="40" workbookViewId="0"/>
  </sheetViews>
  <sheetFormatPr defaultRowHeight="15" x14ac:dyDescent="0.25"/>
  <cols>
    <col min="1" max="1" width="5.7109375" style="12" customWidth="1"/>
    <col min="2" max="3" width="8.7109375" style="12" customWidth="1"/>
    <col min="4" max="4" width="23.7109375" style="12" customWidth="1"/>
    <col min="5" max="5" width="20.7109375" style="12" customWidth="1"/>
    <col min="6" max="6" width="16.7109375" style="12" customWidth="1"/>
    <col min="7" max="7" width="9.28515625" style="12" customWidth="1"/>
    <col min="8" max="9" width="9.140625" style="12"/>
    <col min="10" max="10" width="8" style="12" customWidth="1"/>
    <col min="11" max="16384" width="9.140625" style="12"/>
  </cols>
  <sheetData>
    <row r="1" spans="1:10" ht="17.45" customHeight="1" x14ac:dyDescent="0.25">
      <c r="A1" s="2"/>
      <c r="B1" s="3"/>
      <c r="C1" s="4"/>
      <c r="D1" s="526" t="str">
        <f>НазваниеКраткое</f>
        <v>Skoda Rally Weekend - 2017</v>
      </c>
      <c r="E1" s="527"/>
      <c r="F1" s="86" t="s">
        <v>8</v>
      </c>
      <c r="G1" s="87">
        <f>КВ3Расстояние</f>
        <v>3.41</v>
      </c>
    </row>
    <row r="2" spans="1:10" ht="17.45" customHeight="1" x14ac:dyDescent="0.25">
      <c r="A2" s="5"/>
      <c r="B2" s="6"/>
      <c r="C2" s="7"/>
      <c r="D2" s="526" t="str">
        <f>КВ2</f>
        <v>КВ-2 Окружная</v>
      </c>
      <c r="E2" s="527"/>
      <c r="F2" s="86" t="s">
        <v>10</v>
      </c>
      <c r="G2" s="173">
        <f>КВ3Время</f>
        <v>7</v>
      </c>
    </row>
    <row r="3" spans="1:10" ht="17.45" customHeight="1" x14ac:dyDescent="0.25">
      <c r="A3" s="5"/>
      <c r="B3" s="6"/>
      <c r="C3" s="7"/>
      <c r="D3" s="526" t="str">
        <f>КВ3</f>
        <v>КВ-3 Родник</v>
      </c>
      <c r="E3" s="527"/>
      <c r="F3" s="86" t="s">
        <v>9</v>
      </c>
      <c r="G3" s="87">
        <f>КВ3Скорость</f>
        <v>29.23</v>
      </c>
    </row>
    <row r="4" spans="1:10" ht="17.45" customHeight="1" x14ac:dyDescent="0.25">
      <c r="A4" s="1" t="s">
        <v>0</v>
      </c>
      <c r="B4" s="1" t="s">
        <v>1</v>
      </c>
      <c r="C4" s="1" t="s">
        <v>2</v>
      </c>
      <c r="D4" s="1" t="s">
        <v>3</v>
      </c>
      <c r="E4" s="498" t="s">
        <v>4</v>
      </c>
      <c r="F4" s="499"/>
      <c r="G4" s="1" t="s">
        <v>5</v>
      </c>
    </row>
    <row r="5" spans="1:10" ht="120" customHeight="1" x14ac:dyDescent="0.35">
      <c r="A5" s="8">
        <v>1</v>
      </c>
      <c r="B5" s="11">
        <v>0</v>
      </c>
      <c r="C5" s="9">
        <v>0</v>
      </c>
      <c r="D5" s="8"/>
      <c r="E5" s="517" t="str">
        <f>КВ2</f>
        <v>КВ-2 Окружная</v>
      </c>
      <c r="F5" s="517"/>
      <c r="G5" s="9">
        <f t="shared" ref="G5:G15" si="0">КВ3Расстояние-B5</f>
        <v>3.41</v>
      </c>
    </row>
    <row r="6" spans="1:10" ht="120" customHeight="1" x14ac:dyDescent="0.25">
      <c r="A6" s="8">
        <f t="shared" ref="A6:A15" si="1">1+A5</f>
        <v>2</v>
      </c>
      <c r="B6" s="85">
        <v>0.35</v>
      </c>
      <c r="C6" s="85">
        <f t="shared" ref="C6:C15" si="2">B6-B5</f>
        <v>0.35</v>
      </c>
      <c r="D6" s="285"/>
      <c r="E6" s="515"/>
      <c r="F6" s="516"/>
      <c r="G6" s="11">
        <f t="shared" si="0"/>
        <v>3.06</v>
      </c>
    </row>
    <row r="7" spans="1:10" ht="120" customHeight="1" x14ac:dyDescent="0.25">
      <c r="A7" s="8">
        <f t="shared" si="1"/>
        <v>3</v>
      </c>
      <c r="B7" s="306">
        <v>0.7</v>
      </c>
      <c r="C7" s="306">
        <f t="shared" si="2"/>
        <v>0.35</v>
      </c>
      <c r="D7" s="285"/>
      <c r="E7" s="511"/>
      <c r="F7" s="511"/>
      <c r="G7" s="306">
        <f t="shared" si="0"/>
        <v>2.71</v>
      </c>
    </row>
    <row r="8" spans="1:10" ht="120" customHeight="1" x14ac:dyDescent="0.25">
      <c r="A8" s="8">
        <f t="shared" si="1"/>
        <v>4</v>
      </c>
      <c r="B8" s="306">
        <v>0.74</v>
      </c>
      <c r="C8" s="85">
        <f t="shared" si="2"/>
        <v>4.0000000000000036E-2</v>
      </c>
      <c r="D8" s="285"/>
      <c r="E8" s="511"/>
      <c r="F8" s="511"/>
      <c r="G8" s="306">
        <f t="shared" si="0"/>
        <v>2.67</v>
      </c>
    </row>
    <row r="9" spans="1:10" ht="120" customHeight="1" x14ac:dyDescent="0.25">
      <c r="A9" s="8">
        <f t="shared" si="1"/>
        <v>5</v>
      </c>
      <c r="B9" s="306">
        <v>1.01</v>
      </c>
      <c r="C9" s="85">
        <f t="shared" si="2"/>
        <v>0.27</v>
      </c>
      <c r="D9" s="285"/>
      <c r="E9" s="511"/>
      <c r="F9" s="511"/>
      <c r="G9" s="306">
        <f t="shared" si="0"/>
        <v>2.4000000000000004</v>
      </c>
    </row>
    <row r="10" spans="1:10" ht="120" customHeight="1" x14ac:dyDescent="0.25">
      <c r="A10" s="8">
        <f t="shared" si="1"/>
        <v>6</v>
      </c>
      <c r="B10" s="306">
        <v>1.1200000000000001</v>
      </c>
      <c r="C10" s="85">
        <f t="shared" si="2"/>
        <v>0.1100000000000001</v>
      </c>
      <c r="D10" s="285"/>
      <c r="E10" s="511"/>
      <c r="F10" s="511"/>
      <c r="G10" s="306">
        <f t="shared" si="0"/>
        <v>2.29</v>
      </c>
    </row>
    <row r="11" spans="1:10" ht="120" customHeight="1" x14ac:dyDescent="0.25">
      <c r="A11" s="8">
        <f t="shared" si="1"/>
        <v>7</v>
      </c>
      <c r="B11" s="306">
        <v>1.41</v>
      </c>
      <c r="C11" s="306">
        <f t="shared" si="2"/>
        <v>0.28999999999999981</v>
      </c>
      <c r="D11" s="285"/>
      <c r="E11" s="511"/>
      <c r="F11" s="511"/>
      <c r="G11" s="306">
        <f t="shared" si="0"/>
        <v>2</v>
      </c>
    </row>
    <row r="12" spans="1:10" ht="120" customHeight="1" x14ac:dyDescent="0.25">
      <c r="A12" s="8">
        <f t="shared" si="1"/>
        <v>8</v>
      </c>
      <c r="B12" s="306">
        <v>1.5</v>
      </c>
      <c r="C12" s="306">
        <f t="shared" si="2"/>
        <v>9.000000000000008E-2</v>
      </c>
      <c r="D12" s="285"/>
      <c r="E12" s="511"/>
      <c r="F12" s="511"/>
      <c r="G12" s="306">
        <f t="shared" si="0"/>
        <v>1.9100000000000001</v>
      </c>
    </row>
    <row r="13" spans="1:10" ht="120" customHeight="1" x14ac:dyDescent="0.25">
      <c r="A13" s="8">
        <f t="shared" si="1"/>
        <v>9</v>
      </c>
      <c r="B13" s="306">
        <v>1.77</v>
      </c>
      <c r="C13" s="306">
        <f t="shared" si="2"/>
        <v>0.27</v>
      </c>
      <c r="D13" s="285"/>
      <c r="E13" s="515"/>
      <c r="F13" s="516"/>
      <c r="G13" s="306">
        <f t="shared" si="0"/>
        <v>1.6400000000000001</v>
      </c>
    </row>
    <row r="14" spans="1:10" ht="120" customHeight="1" x14ac:dyDescent="0.25">
      <c r="A14" s="8">
        <f>1+A13</f>
        <v>10</v>
      </c>
      <c r="B14" s="306">
        <v>3.36</v>
      </c>
      <c r="C14" s="85">
        <f t="shared" si="2"/>
        <v>1.5899999999999999</v>
      </c>
      <c r="D14" s="285"/>
      <c r="E14" s="515"/>
      <c r="F14" s="516"/>
      <c r="G14" s="306">
        <f t="shared" si="0"/>
        <v>5.0000000000000266E-2</v>
      </c>
      <c r="J14" s="47"/>
    </row>
    <row r="15" spans="1:10" ht="120" customHeight="1" x14ac:dyDescent="0.35">
      <c r="A15" s="8">
        <f t="shared" si="1"/>
        <v>11</v>
      </c>
      <c r="B15" s="11">
        <v>3.41</v>
      </c>
      <c r="C15" s="11">
        <f t="shared" si="2"/>
        <v>5.0000000000000266E-2</v>
      </c>
      <c r="D15" s="285"/>
      <c r="E15" s="502" t="str">
        <f>КВ3</f>
        <v>КВ-3 Родник</v>
      </c>
      <c r="F15" s="503"/>
      <c r="G15" s="9">
        <f t="shared" si="0"/>
        <v>0</v>
      </c>
      <c r="J15" s="47"/>
    </row>
  </sheetData>
  <mergeCells count="15">
    <mergeCell ref="E6:F6"/>
    <mergeCell ref="D1:E1"/>
    <mergeCell ref="D2:E2"/>
    <mergeCell ref="D3:E3"/>
    <mergeCell ref="E4:F4"/>
    <mergeCell ref="E5:F5"/>
    <mergeCell ref="E13:F13"/>
    <mergeCell ref="E14:F14"/>
    <mergeCell ref="E15:F15"/>
    <mergeCell ref="E7:F7"/>
    <mergeCell ref="E8:F8"/>
    <mergeCell ref="E9:F9"/>
    <mergeCell ref="E10:F10"/>
    <mergeCell ref="E11:F11"/>
    <mergeCell ref="E12:F12"/>
  </mergeCells>
  <pageMargins left="0.39370078740157483" right="0.39370078740157483" top="0.39370078740157483" bottom="0.39370078740157483" header="0" footer="0.39370078740157483"/>
  <pageSetup paperSize="9" firstPageNumber="3" orientation="portrait" r:id="rId1"/>
  <headerFooter differentFirst="1">
    <oddFooter>Страница  &amp;P из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view="pageBreakPreview" zoomScaleNormal="70" zoomScaleSheetLayoutView="100" zoomScalePageLayoutView="40" workbookViewId="0"/>
  </sheetViews>
  <sheetFormatPr defaultRowHeight="15" x14ac:dyDescent="0.25"/>
  <cols>
    <col min="1" max="1" width="5.7109375" style="12" customWidth="1"/>
    <col min="2" max="3" width="8.7109375" style="12" customWidth="1"/>
    <col min="4" max="4" width="23.7109375" style="12" customWidth="1"/>
    <col min="5" max="5" width="20.7109375" style="12" customWidth="1"/>
    <col min="6" max="6" width="16.7109375" style="12" customWidth="1"/>
    <col min="7" max="7" width="9.28515625" style="12" customWidth="1"/>
    <col min="8" max="9" width="9.140625" style="12"/>
    <col min="10" max="10" width="8" style="12" customWidth="1"/>
    <col min="11" max="16384" width="9.140625" style="12"/>
  </cols>
  <sheetData>
    <row r="1" spans="1:10" ht="17.45" customHeight="1" x14ac:dyDescent="0.25">
      <c r="A1" s="2"/>
      <c r="B1" s="3"/>
      <c r="C1" s="4"/>
      <c r="D1" s="526" t="str">
        <f>НазваниеКраткое</f>
        <v>Skoda Rally Weekend - 2017</v>
      </c>
      <c r="E1" s="527"/>
      <c r="F1" s="86" t="s">
        <v>8</v>
      </c>
      <c r="G1" s="87">
        <f>КВ4Расстояние</f>
        <v>62.34</v>
      </c>
    </row>
    <row r="2" spans="1:10" ht="17.45" customHeight="1" x14ac:dyDescent="0.25">
      <c r="A2" s="5"/>
      <c r="B2" s="6"/>
      <c r="C2" s="7"/>
      <c r="D2" s="526" t="str">
        <f>КВ3</f>
        <v>КВ-3 Родник</v>
      </c>
      <c r="E2" s="527"/>
      <c r="F2" s="86" t="s">
        <v>10</v>
      </c>
      <c r="G2" s="173">
        <f>КВ4Время</f>
        <v>70</v>
      </c>
    </row>
    <row r="3" spans="1:10" ht="17.45" customHeight="1" x14ac:dyDescent="0.25">
      <c r="A3" s="5"/>
      <c r="B3" s="6"/>
      <c r="C3" s="7"/>
      <c r="D3" s="526" t="str">
        <f>КВ4</f>
        <v>КВ-4 Финиш Skoda</v>
      </c>
      <c r="E3" s="527"/>
      <c r="F3" s="86" t="s">
        <v>9</v>
      </c>
      <c r="G3" s="87">
        <f>КВ4Скорость</f>
        <v>53.43</v>
      </c>
    </row>
    <row r="4" spans="1:10" ht="17.45" customHeight="1" x14ac:dyDescent="0.25">
      <c r="A4" s="1" t="s">
        <v>0</v>
      </c>
      <c r="B4" s="1" t="s">
        <v>1</v>
      </c>
      <c r="C4" s="1" t="s">
        <v>2</v>
      </c>
      <c r="D4" s="1" t="s">
        <v>3</v>
      </c>
      <c r="E4" s="498" t="s">
        <v>4</v>
      </c>
      <c r="F4" s="499"/>
      <c r="G4" s="1" t="s">
        <v>5</v>
      </c>
    </row>
    <row r="5" spans="1:10" ht="120" customHeight="1" x14ac:dyDescent="0.3">
      <c r="A5" s="8">
        <v>1</v>
      </c>
      <c r="B5" s="11">
        <v>0</v>
      </c>
      <c r="C5" s="9">
        <v>0</v>
      </c>
      <c r="D5" s="8"/>
      <c r="E5" s="512" t="str">
        <f>КВ3&amp;CHAR(10)&amp;ДС3&amp;" Старт"&amp;CHAR(10)&amp;"Vср=80% ПДД"</f>
        <v>КВ-3 Родник
ДС-3 РД Старт
Vср=80% ПДД</v>
      </c>
      <c r="F5" s="512"/>
      <c r="G5" s="9">
        <f t="shared" ref="G5:G12" si="0">КВ4Расстояние-B5</f>
        <v>62.34</v>
      </c>
    </row>
    <row r="6" spans="1:10" ht="120" customHeight="1" x14ac:dyDescent="0.25">
      <c r="A6" s="8">
        <f t="shared" ref="A6:A27" si="1">1+A5</f>
        <v>2</v>
      </c>
      <c r="B6" s="306">
        <v>2.71</v>
      </c>
      <c r="C6" s="306">
        <f t="shared" ref="C6:C26" si="2">B6-B5</f>
        <v>2.71</v>
      </c>
      <c r="D6" s="285"/>
      <c r="E6" s="515"/>
      <c r="F6" s="516"/>
      <c r="G6" s="306">
        <f t="shared" si="0"/>
        <v>59.63</v>
      </c>
    </row>
    <row r="7" spans="1:10" ht="120" customHeight="1" x14ac:dyDescent="0.25">
      <c r="A7" s="8">
        <f t="shared" si="1"/>
        <v>3</v>
      </c>
      <c r="B7" s="306">
        <v>3.37</v>
      </c>
      <c r="C7" s="306">
        <f t="shared" si="2"/>
        <v>0.66000000000000014</v>
      </c>
      <c r="D7" s="285"/>
      <c r="E7" s="511"/>
      <c r="F7" s="511"/>
      <c r="G7" s="306">
        <f t="shared" si="0"/>
        <v>58.970000000000006</v>
      </c>
    </row>
    <row r="8" spans="1:10" ht="120" customHeight="1" x14ac:dyDescent="0.25">
      <c r="A8" s="8">
        <f t="shared" si="1"/>
        <v>4</v>
      </c>
      <c r="B8" s="306">
        <v>4.47</v>
      </c>
      <c r="C8" s="306">
        <f t="shared" si="2"/>
        <v>1.0999999999999996</v>
      </c>
      <c r="D8" s="285"/>
      <c r="E8" s="511"/>
      <c r="F8" s="511"/>
      <c r="G8" s="306">
        <f t="shared" si="0"/>
        <v>57.870000000000005</v>
      </c>
    </row>
    <row r="9" spans="1:10" ht="120" customHeight="1" x14ac:dyDescent="0.25">
      <c r="A9" s="8">
        <f t="shared" si="1"/>
        <v>5</v>
      </c>
      <c r="B9" s="306">
        <v>6.15</v>
      </c>
      <c r="C9" s="306">
        <f t="shared" si="2"/>
        <v>1.6800000000000006</v>
      </c>
      <c r="D9" s="285"/>
      <c r="E9" s="511"/>
      <c r="F9" s="511"/>
      <c r="G9" s="306">
        <f t="shared" si="0"/>
        <v>56.190000000000005</v>
      </c>
    </row>
    <row r="10" spans="1:10" ht="120" customHeight="1" x14ac:dyDescent="0.25">
      <c r="A10" s="8">
        <f t="shared" si="1"/>
        <v>6</v>
      </c>
      <c r="B10" s="85">
        <v>21.1</v>
      </c>
      <c r="C10" s="85">
        <f t="shared" si="2"/>
        <v>14.950000000000001</v>
      </c>
      <c r="D10" s="285"/>
      <c r="E10" s="519" t="s">
        <v>319</v>
      </c>
      <c r="F10" s="519"/>
      <c r="G10" s="85">
        <f t="shared" si="0"/>
        <v>41.24</v>
      </c>
    </row>
    <row r="11" spans="1:10" ht="120" customHeight="1" x14ac:dyDescent="0.25">
      <c r="A11" s="8">
        <f t="shared" si="1"/>
        <v>7</v>
      </c>
      <c r="B11" s="85">
        <v>26.67</v>
      </c>
      <c r="C11" s="85">
        <f t="shared" si="2"/>
        <v>5.57</v>
      </c>
      <c r="D11" s="285"/>
      <c r="E11" s="519" t="s">
        <v>320</v>
      </c>
      <c r="F11" s="519"/>
      <c r="G11" s="85">
        <f t="shared" si="0"/>
        <v>35.67</v>
      </c>
    </row>
    <row r="12" spans="1:10" ht="120" customHeight="1" x14ac:dyDescent="0.35">
      <c r="A12" s="8">
        <f t="shared" si="1"/>
        <v>8</v>
      </c>
      <c r="B12" s="85">
        <v>47.18</v>
      </c>
      <c r="C12" s="85">
        <f t="shared" si="2"/>
        <v>20.509999999999998</v>
      </c>
      <c r="D12" s="285"/>
      <c r="E12" s="509" t="s">
        <v>321</v>
      </c>
      <c r="F12" s="510"/>
      <c r="G12" s="85">
        <f t="shared" si="0"/>
        <v>15.160000000000004</v>
      </c>
    </row>
    <row r="13" spans="1:10" ht="120" customHeight="1" x14ac:dyDescent="0.25">
      <c r="A13" s="171"/>
      <c r="B13" s="344"/>
      <c r="C13" s="344"/>
      <c r="D13" s="345"/>
      <c r="E13" s="520"/>
      <c r="F13" s="520"/>
      <c r="G13" s="344"/>
      <c r="J13" s="47"/>
    </row>
    <row r="14" spans="1:10" ht="120" customHeight="1" x14ac:dyDescent="0.25">
      <c r="A14" s="90"/>
      <c r="B14" s="91"/>
      <c r="C14" s="91"/>
      <c r="D14" s="92"/>
      <c r="E14" s="518"/>
      <c r="F14" s="518"/>
      <c r="G14" s="91"/>
      <c r="J14" s="47"/>
    </row>
    <row r="15" spans="1:10" ht="120" customHeight="1" x14ac:dyDescent="0.25">
      <c r="A15" s="90"/>
      <c r="B15" s="91"/>
      <c r="C15" s="91"/>
      <c r="D15" s="92"/>
      <c r="E15" s="518"/>
      <c r="F15" s="518"/>
      <c r="G15" s="91"/>
      <c r="J15" s="47"/>
    </row>
    <row r="16" spans="1:10" ht="120" customHeight="1" x14ac:dyDescent="0.25">
      <c r="A16" s="90"/>
      <c r="B16" s="91"/>
      <c r="C16" s="91"/>
      <c r="D16" s="92"/>
      <c r="E16" s="518"/>
      <c r="F16" s="518"/>
      <c r="G16" s="91"/>
      <c r="J16" s="47"/>
    </row>
    <row r="17" spans="1:10" ht="120" customHeight="1" x14ac:dyDescent="0.25">
      <c r="A17" s="10"/>
      <c r="B17" s="91"/>
      <c r="C17" s="91"/>
      <c r="D17" s="92"/>
      <c r="E17" s="518"/>
      <c r="F17" s="518"/>
      <c r="G17" s="96"/>
      <c r="J17" s="47"/>
    </row>
    <row r="18" spans="1:10" ht="120" customHeight="1" x14ac:dyDescent="0.25">
      <c r="A18" s="10"/>
      <c r="B18" s="91"/>
      <c r="C18" s="91"/>
      <c r="D18" s="92"/>
      <c r="E18" s="518"/>
      <c r="F18" s="518"/>
      <c r="G18" s="96"/>
      <c r="J18" s="47"/>
    </row>
    <row r="19" spans="1:10" ht="120" customHeight="1" x14ac:dyDescent="0.25">
      <c r="A19" s="10"/>
      <c r="B19" s="91"/>
      <c r="C19" s="91"/>
      <c r="D19" s="92"/>
      <c r="E19" s="518"/>
      <c r="F19" s="518"/>
      <c r="G19" s="96"/>
      <c r="J19" s="47"/>
    </row>
    <row r="20" spans="1:10" ht="120" customHeight="1" x14ac:dyDescent="0.25">
      <c r="A20" s="10"/>
      <c r="B20" s="91"/>
      <c r="C20" s="91"/>
      <c r="D20" s="92"/>
      <c r="E20" s="518"/>
      <c r="F20" s="518"/>
      <c r="G20" s="96"/>
      <c r="J20" s="47"/>
    </row>
    <row r="21" spans="1:10" ht="120" customHeight="1" x14ac:dyDescent="0.25">
      <c r="A21" s="10"/>
      <c r="B21" s="91"/>
      <c r="C21" s="91"/>
      <c r="D21" s="92"/>
      <c r="E21" s="518"/>
      <c r="F21" s="518"/>
      <c r="G21" s="96"/>
      <c r="J21" s="47"/>
    </row>
    <row r="22" spans="1:10" ht="120" customHeight="1" x14ac:dyDescent="0.25">
      <c r="A22" s="95"/>
      <c r="B22" s="93"/>
      <c r="C22" s="93"/>
      <c r="D22" s="94"/>
      <c r="E22" s="524"/>
      <c r="F22" s="524"/>
      <c r="G22" s="97"/>
      <c r="J22" s="47"/>
    </row>
    <row r="23" spans="1:10" ht="120" customHeight="1" x14ac:dyDescent="0.25">
      <c r="A23" s="8">
        <f>1+A12</f>
        <v>9</v>
      </c>
      <c r="B23" s="85">
        <v>54.7</v>
      </c>
      <c r="C23" s="85"/>
      <c r="D23" s="285"/>
      <c r="E23" s="515" t="s">
        <v>310</v>
      </c>
      <c r="F23" s="516"/>
      <c r="G23" s="85">
        <f t="shared" ref="G23:G27" si="3">КВ4Расстояние-B23</f>
        <v>7.6400000000000006</v>
      </c>
      <c r="J23" s="47"/>
    </row>
    <row r="24" spans="1:10" ht="120" customHeight="1" x14ac:dyDescent="0.25">
      <c r="A24" s="8">
        <f t="shared" si="1"/>
        <v>10</v>
      </c>
      <c r="B24" s="11">
        <v>58.18</v>
      </c>
      <c r="C24" s="11">
        <f t="shared" si="2"/>
        <v>3.4799999999999969</v>
      </c>
      <c r="D24" s="285"/>
      <c r="E24" s="511"/>
      <c r="F24" s="511"/>
      <c r="G24" s="11">
        <f t="shared" si="3"/>
        <v>4.1600000000000037</v>
      </c>
    </row>
    <row r="25" spans="1:10" ht="120" customHeight="1" x14ac:dyDescent="0.25">
      <c r="A25" s="8">
        <f t="shared" si="1"/>
        <v>11</v>
      </c>
      <c r="B25" s="11">
        <v>58.38</v>
      </c>
      <c r="C25" s="11">
        <f t="shared" si="2"/>
        <v>0.20000000000000284</v>
      </c>
      <c r="D25" s="285"/>
      <c r="E25" s="511"/>
      <c r="F25" s="511"/>
      <c r="G25" s="11">
        <f t="shared" si="3"/>
        <v>3.9600000000000009</v>
      </c>
      <c r="J25" s="47"/>
    </row>
    <row r="26" spans="1:10" ht="120" customHeight="1" x14ac:dyDescent="0.25">
      <c r="A26" s="8">
        <f t="shared" si="1"/>
        <v>12</v>
      </c>
      <c r="B26" s="11">
        <v>62.32</v>
      </c>
      <c r="C26" s="11">
        <f t="shared" si="2"/>
        <v>3.9399999999999977</v>
      </c>
      <c r="D26" s="285"/>
      <c r="E26" s="511"/>
      <c r="F26" s="511"/>
      <c r="G26" s="11">
        <f t="shared" si="3"/>
        <v>2.0000000000003126E-2</v>
      </c>
      <c r="J26" s="47"/>
    </row>
    <row r="27" spans="1:10" ht="120" customHeight="1" x14ac:dyDescent="0.35">
      <c r="A27" s="8">
        <f t="shared" si="1"/>
        <v>13</v>
      </c>
      <c r="B27" s="11">
        <v>62.34</v>
      </c>
      <c r="C27" s="11">
        <f>B27-B25</f>
        <v>3.9600000000000009</v>
      </c>
      <c r="D27" s="285"/>
      <c r="E27" s="517" t="str">
        <f>КВ4</f>
        <v>КВ-4 Финиш Skoda</v>
      </c>
      <c r="F27" s="503"/>
      <c r="G27" s="11">
        <f t="shared" si="3"/>
        <v>0</v>
      </c>
      <c r="J27" s="47"/>
    </row>
    <row r="28" spans="1:10" ht="120" customHeight="1" x14ac:dyDescent="0.25">
      <c r="A28" s="521" t="str">
        <f>"Сдайте контрольную карту и неиспользованные конверты судье финиша. Далее - "&amp;ДС4</f>
        <v>Сдайте контрольную карту и неиспользованные конверты судье финиша. Далее - ДС-4 СЛ</v>
      </c>
      <c r="B28" s="522"/>
      <c r="C28" s="522"/>
      <c r="D28" s="522"/>
      <c r="E28" s="522"/>
      <c r="F28" s="522"/>
      <c r="G28" s="523"/>
      <c r="J28" s="47"/>
    </row>
  </sheetData>
  <mergeCells count="28">
    <mergeCell ref="E25:F25"/>
    <mergeCell ref="E26:F26"/>
    <mergeCell ref="E27:F27"/>
    <mergeCell ref="A28:G28"/>
    <mergeCell ref="E19:F19"/>
    <mergeCell ref="E20:F20"/>
    <mergeCell ref="E21:F21"/>
    <mergeCell ref="E22:F22"/>
    <mergeCell ref="E23:F23"/>
    <mergeCell ref="E24:F24"/>
    <mergeCell ref="E18:F18"/>
    <mergeCell ref="E7:F7"/>
    <mergeCell ref="E8:F8"/>
    <mergeCell ref="E9:F9"/>
    <mergeCell ref="E10:F10"/>
    <mergeCell ref="E11:F11"/>
    <mergeCell ref="E12:F12"/>
    <mergeCell ref="E13:F13"/>
    <mergeCell ref="E14:F14"/>
    <mergeCell ref="E15:F15"/>
    <mergeCell ref="E16:F16"/>
    <mergeCell ref="E17:F17"/>
    <mergeCell ref="E6:F6"/>
    <mergeCell ref="D1:E1"/>
    <mergeCell ref="D2:E2"/>
    <mergeCell ref="D3:E3"/>
    <mergeCell ref="E4:F4"/>
    <mergeCell ref="E5:F5"/>
  </mergeCells>
  <pageMargins left="0.39370078740157483" right="0.39370078740157483" top="0.39370078740157483" bottom="0.39370078740157483" header="0" footer="0.39370078740157483"/>
  <pageSetup paperSize="9" firstPageNumber="3" orientation="portrait" r:id="rId1"/>
  <headerFooter differentFirst="1">
    <oddFooter>Страница  &amp;P из &amp;N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workbookViewId="0"/>
  </sheetViews>
  <sheetFormatPr defaultRowHeight="15" x14ac:dyDescent="0.25"/>
  <cols>
    <col min="7" max="7" width="9.140625" style="12"/>
  </cols>
  <sheetData>
    <row r="1" spans="1:10" ht="21" customHeight="1" x14ac:dyDescent="0.25">
      <c r="A1" s="55"/>
      <c r="B1" s="56"/>
      <c r="C1" s="537" t="str">
        <f>НазваниеПолное</f>
        <v>Ралли "Skoda Rally Weekend - 2017"</v>
      </c>
      <c r="D1" s="537"/>
      <c r="E1" s="537"/>
      <c r="F1" s="537"/>
      <c r="G1" s="537"/>
      <c r="H1" s="537"/>
      <c r="I1" s="538"/>
      <c r="J1" s="539"/>
    </row>
    <row r="2" spans="1:10" ht="21" customHeight="1" x14ac:dyDescent="0.25">
      <c r="A2" s="55"/>
      <c r="B2" s="56"/>
      <c r="C2" s="537" t="s">
        <v>187</v>
      </c>
      <c r="D2" s="537"/>
      <c r="E2" s="537"/>
      <c r="F2" s="537"/>
      <c r="G2" s="537"/>
      <c r="H2" s="537"/>
      <c r="I2" s="540"/>
      <c r="J2" s="541"/>
    </row>
    <row r="3" spans="1:10" ht="3" customHeight="1" x14ac:dyDescent="0.25">
      <c r="A3" s="23"/>
      <c r="B3" s="24"/>
      <c r="C3" s="25"/>
      <c r="D3" s="37"/>
      <c r="E3" s="37"/>
      <c r="F3" s="37"/>
      <c r="G3" s="37"/>
      <c r="H3" s="37"/>
      <c r="I3" s="37"/>
      <c r="J3" s="38"/>
    </row>
    <row r="4" spans="1:10" ht="15.75" x14ac:dyDescent="0.25">
      <c r="A4" s="36" t="s">
        <v>65</v>
      </c>
      <c r="B4" s="36"/>
      <c r="C4" s="36"/>
      <c r="D4" s="129"/>
      <c r="E4" s="129"/>
      <c r="F4" s="129"/>
      <c r="G4" s="129"/>
      <c r="H4" s="129"/>
      <c r="I4" s="129"/>
      <c r="J4" s="130"/>
    </row>
    <row r="5" spans="1:10" ht="15.75" x14ac:dyDescent="0.25">
      <c r="A5" s="36" t="s">
        <v>66</v>
      </c>
      <c r="B5" s="36"/>
      <c r="C5" s="36"/>
      <c r="D5" s="131"/>
      <c r="E5" s="131"/>
      <c r="F5" s="131"/>
      <c r="G5" s="131"/>
      <c r="H5" s="131"/>
      <c r="I5" s="131"/>
      <c r="J5" s="132"/>
    </row>
    <row r="6" spans="1:10" ht="3" customHeight="1" x14ac:dyDescent="0.25">
      <c r="A6" s="26"/>
      <c r="B6" s="26"/>
      <c r="C6" s="26"/>
      <c r="D6" s="40"/>
      <c r="E6" s="39"/>
      <c r="F6" s="39"/>
      <c r="G6" s="39"/>
      <c r="H6" s="39"/>
      <c r="I6" s="39"/>
      <c r="J6" s="39"/>
    </row>
    <row r="7" spans="1:10" ht="15.75" x14ac:dyDescent="0.25">
      <c r="A7" s="36" t="s">
        <v>67</v>
      </c>
      <c r="B7" s="36"/>
      <c r="C7" s="36"/>
      <c r="D7" s="133"/>
      <c r="E7" s="133"/>
      <c r="F7" s="133"/>
      <c r="G7" s="133"/>
      <c r="H7" s="133"/>
      <c r="I7" s="133"/>
      <c r="J7" s="134"/>
    </row>
    <row r="8" spans="1:10" ht="15.75" x14ac:dyDescent="0.25">
      <c r="A8" s="36" t="s">
        <v>68</v>
      </c>
      <c r="B8" s="36"/>
      <c r="C8" s="36"/>
      <c r="D8" s="41"/>
      <c r="E8" s="41"/>
      <c r="F8" s="41"/>
      <c r="G8" s="41"/>
      <c r="H8" s="41"/>
      <c r="I8" s="41"/>
      <c r="J8" s="135"/>
    </row>
    <row r="9" spans="1:10" ht="15.75" x14ac:dyDescent="0.25">
      <c r="A9" s="36" t="s">
        <v>93</v>
      </c>
      <c r="B9" s="36"/>
      <c r="C9" s="36"/>
      <c r="D9" s="131"/>
      <c r="E9" s="131"/>
      <c r="F9" s="131"/>
      <c r="G9" s="131"/>
      <c r="H9" s="131"/>
      <c r="I9" s="131"/>
      <c r="J9" s="132"/>
    </row>
    <row r="10" spans="1:10" ht="3" customHeight="1" x14ac:dyDescent="0.25">
      <c r="A10" s="26"/>
      <c r="B10" s="26"/>
      <c r="C10" s="26"/>
      <c r="D10" s="40"/>
      <c r="E10" s="39"/>
      <c r="F10" s="39"/>
      <c r="G10" s="39"/>
      <c r="H10" s="39"/>
      <c r="I10" s="39"/>
      <c r="J10" s="39"/>
    </row>
    <row r="11" spans="1:10" ht="15.75" x14ac:dyDescent="0.25">
      <c r="A11" s="36" t="s">
        <v>69</v>
      </c>
      <c r="B11" s="36"/>
      <c r="C11" s="36"/>
      <c r="D11" s="133"/>
      <c r="E11" s="133"/>
      <c r="F11" s="133"/>
      <c r="G11" s="133"/>
      <c r="H11" s="133"/>
      <c r="I11" s="133"/>
      <c r="J11" s="134"/>
    </row>
    <row r="12" spans="1:10" ht="15.75" x14ac:dyDescent="0.25">
      <c r="A12" s="36" t="s">
        <v>68</v>
      </c>
      <c r="B12" s="36"/>
      <c r="C12" s="36"/>
      <c r="D12" s="41"/>
      <c r="E12" s="41"/>
      <c r="F12" s="41"/>
      <c r="G12" s="41"/>
      <c r="H12" s="41"/>
      <c r="I12" s="41"/>
      <c r="J12" s="135"/>
    </row>
    <row r="13" spans="1:10" ht="15.75" x14ac:dyDescent="0.25">
      <c r="A13" s="36" t="s">
        <v>93</v>
      </c>
      <c r="B13" s="36"/>
      <c r="C13" s="36"/>
      <c r="D13" s="131"/>
      <c r="E13" s="131"/>
      <c r="F13" s="131"/>
      <c r="G13" s="131"/>
      <c r="H13" s="131"/>
      <c r="I13" s="131"/>
      <c r="J13" s="132"/>
    </row>
    <row r="14" spans="1:10" ht="3" customHeight="1" x14ac:dyDescent="0.25">
      <c r="A14" s="26"/>
      <c r="B14" s="26"/>
      <c r="C14" s="26"/>
      <c r="D14" s="40"/>
      <c r="E14" s="39"/>
      <c r="F14" s="39"/>
      <c r="G14" s="39"/>
      <c r="H14" s="39"/>
      <c r="I14" s="39"/>
      <c r="J14" s="39"/>
    </row>
    <row r="15" spans="1:10" ht="15.75" x14ac:dyDescent="0.25">
      <c r="A15" s="36" t="s">
        <v>17</v>
      </c>
      <c r="B15" s="36"/>
      <c r="C15" s="36"/>
      <c r="D15" s="129"/>
      <c r="E15" s="129"/>
      <c r="F15" s="129"/>
      <c r="G15" s="129"/>
      <c r="H15" s="129"/>
      <c r="I15" s="129"/>
      <c r="J15" s="130"/>
    </row>
    <row r="16" spans="1:10" ht="15.75" x14ac:dyDescent="0.25">
      <c r="A16" s="36" t="s">
        <v>70</v>
      </c>
      <c r="B16" s="36"/>
      <c r="C16" s="36"/>
      <c r="D16" s="131"/>
      <c r="E16" s="131"/>
      <c r="F16" s="131"/>
      <c r="G16" s="131"/>
      <c r="H16" s="131"/>
      <c r="I16" s="131"/>
      <c r="J16" s="132"/>
    </row>
    <row r="17" spans="1:10" ht="3" customHeight="1" x14ac:dyDescent="0.25">
      <c r="A17" s="26"/>
      <c r="B17" s="26"/>
      <c r="C17" s="26"/>
      <c r="D17" s="39"/>
      <c r="E17" s="39"/>
      <c r="F17" s="39"/>
      <c r="G17" s="39"/>
      <c r="H17" s="39"/>
      <c r="I17" s="39"/>
      <c r="J17" s="39"/>
    </row>
    <row r="18" spans="1:10" ht="72" customHeight="1" x14ac:dyDescent="0.25">
      <c r="A18" s="531" t="s">
        <v>158</v>
      </c>
      <c r="B18" s="532"/>
      <c r="C18" s="532"/>
      <c r="D18" s="532"/>
      <c r="E18" s="532"/>
      <c r="F18" s="532"/>
      <c r="G18" s="532"/>
      <c r="H18" s="532"/>
      <c r="I18" s="532"/>
      <c r="J18" s="533"/>
    </row>
    <row r="19" spans="1:10" ht="21" customHeight="1" x14ac:dyDescent="0.25">
      <c r="A19" s="534" t="s">
        <v>72</v>
      </c>
      <c r="B19" s="535"/>
      <c r="C19" s="535"/>
      <c r="D19" s="535"/>
      <c r="E19" s="535"/>
      <c r="F19" s="535" t="s">
        <v>73</v>
      </c>
      <c r="G19" s="535"/>
      <c r="H19" s="535"/>
      <c r="I19" s="535"/>
      <c r="J19" s="536"/>
    </row>
    <row r="20" spans="1:10" ht="42" customHeight="1" x14ac:dyDescent="0.25">
      <c r="A20" s="136"/>
      <c r="B20" s="137"/>
      <c r="C20" s="137"/>
      <c r="D20" s="137"/>
      <c r="E20" s="138"/>
      <c r="F20" s="136"/>
      <c r="G20" s="137"/>
      <c r="H20" s="137"/>
      <c r="I20" s="137"/>
      <c r="J20" s="138"/>
    </row>
    <row r="21" spans="1:10" ht="65.25" customHeight="1" x14ac:dyDescent="0.25"/>
    <row r="22" spans="1:10" s="12" customFormat="1" ht="21" customHeight="1" x14ac:dyDescent="0.25">
      <c r="A22" s="55"/>
      <c r="B22" s="56"/>
      <c r="C22" s="537" t="str">
        <f>НазваниеПолное</f>
        <v>Ралли "Skoda Rally Weekend - 2017"</v>
      </c>
      <c r="D22" s="537"/>
      <c r="E22" s="537"/>
      <c r="F22" s="537"/>
      <c r="G22" s="537"/>
      <c r="H22" s="537"/>
      <c r="I22" s="538"/>
      <c r="J22" s="539"/>
    </row>
    <row r="23" spans="1:10" s="12" customFormat="1" ht="21" customHeight="1" x14ac:dyDescent="0.25">
      <c r="A23" s="55"/>
      <c r="B23" s="56"/>
      <c r="C23" s="537" t="s">
        <v>187</v>
      </c>
      <c r="D23" s="537"/>
      <c r="E23" s="537"/>
      <c r="F23" s="537"/>
      <c r="G23" s="537"/>
      <c r="H23" s="537"/>
      <c r="I23" s="540"/>
      <c r="J23" s="541"/>
    </row>
    <row r="24" spans="1:10" s="12" customFormat="1" ht="3" customHeight="1" x14ac:dyDescent="0.25">
      <c r="A24" s="23"/>
      <c r="B24" s="24"/>
      <c r="C24" s="25"/>
      <c r="D24" s="37"/>
      <c r="E24" s="37"/>
      <c r="F24" s="37"/>
      <c r="G24" s="37"/>
      <c r="H24" s="37"/>
      <c r="I24" s="37"/>
      <c r="J24" s="38"/>
    </row>
    <row r="25" spans="1:10" s="12" customFormat="1" ht="15.75" x14ac:dyDescent="0.25">
      <c r="A25" s="36" t="s">
        <v>65</v>
      </c>
      <c r="B25" s="36"/>
      <c r="C25" s="36"/>
      <c r="D25" s="129"/>
      <c r="E25" s="129"/>
      <c r="F25" s="129"/>
      <c r="G25" s="129"/>
      <c r="H25" s="129"/>
      <c r="I25" s="129"/>
      <c r="J25" s="130"/>
    </row>
    <row r="26" spans="1:10" s="12" customFormat="1" ht="15.75" x14ac:dyDescent="0.25">
      <c r="A26" s="36" t="s">
        <v>66</v>
      </c>
      <c r="B26" s="36"/>
      <c r="C26" s="36"/>
      <c r="D26" s="131"/>
      <c r="E26" s="131"/>
      <c r="F26" s="131"/>
      <c r="G26" s="131"/>
      <c r="H26" s="131"/>
      <c r="I26" s="131"/>
      <c r="J26" s="132"/>
    </row>
    <row r="27" spans="1:10" s="12" customFormat="1" ht="3" customHeight="1" x14ac:dyDescent="0.25">
      <c r="A27" s="26"/>
      <c r="B27" s="26"/>
      <c r="C27" s="26"/>
      <c r="D27" s="40"/>
      <c r="E27" s="39"/>
      <c r="F27" s="39"/>
      <c r="G27" s="39"/>
      <c r="H27" s="39"/>
      <c r="I27" s="39"/>
      <c r="J27" s="39"/>
    </row>
    <row r="28" spans="1:10" s="12" customFormat="1" ht="15.75" x14ac:dyDescent="0.25">
      <c r="A28" s="36" t="s">
        <v>67</v>
      </c>
      <c r="B28" s="36"/>
      <c r="C28" s="36"/>
      <c r="D28" s="133"/>
      <c r="E28" s="133"/>
      <c r="F28" s="133"/>
      <c r="G28" s="133"/>
      <c r="H28" s="133"/>
      <c r="I28" s="133"/>
      <c r="J28" s="134"/>
    </row>
    <row r="29" spans="1:10" s="12" customFormat="1" ht="15.75" x14ac:dyDescent="0.25">
      <c r="A29" s="36" t="s">
        <v>68</v>
      </c>
      <c r="B29" s="36"/>
      <c r="C29" s="36"/>
      <c r="D29" s="41"/>
      <c r="E29" s="41"/>
      <c r="F29" s="41"/>
      <c r="G29" s="41"/>
      <c r="H29" s="41"/>
      <c r="I29" s="41"/>
      <c r="J29" s="135"/>
    </row>
    <row r="30" spans="1:10" s="12" customFormat="1" ht="15.75" x14ac:dyDescent="0.25">
      <c r="A30" s="36" t="s">
        <v>93</v>
      </c>
      <c r="B30" s="36"/>
      <c r="C30" s="36"/>
      <c r="D30" s="131"/>
      <c r="E30" s="131"/>
      <c r="F30" s="131"/>
      <c r="G30" s="131"/>
      <c r="H30" s="131"/>
      <c r="I30" s="131"/>
      <c r="J30" s="132"/>
    </row>
    <row r="31" spans="1:10" s="12" customFormat="1" ht="3" customHeight="1" x14ac:dyDescent="0.25">
      <c r="A31" s="26"/>
      <c r="B31" s="26"/>
      <c r="C31" s="26"/>
      <c r="D31" s="40"/>
      <c r="E31" s="39"/>
      <c r="F31" s="39"/>
      <c r="G31" s="39"/>
      <c r="H31" s="39"/>
      <c r="I31" s="39"/>
      <c r="J31" s="39"/>
    </row>
    <row r="32" spans="1:10" s="12" customFormat="1" ht="15.75" x14ac:dyDescent="0.25">
      <c r="A32" s="36" t="s">
        <v>69</v>
      </c>
      <c r="B32" s="36"/>
      <c r="C32" s="36"/>
      <c r="D32" s="133"/>
      <c r="E32" s="133"/>
      <c r="F32" s="133"/>
      <c r="G32" s="133"/>
      <c r="H32" s="133"/>
      <c r="I32" s="133"/>
      <c r="J32" s="134"/>
    </row>
    <row r="33" spans="1:10" s="12" customFormat="1" ht="15.75" x14ac:dyDescent="0.25">
      <c r="A33" s="36" t="s">
        <v>68</v>
      </c>
      <c r="B33" s="36"/>
      <c r="C33" s="36"/>
      <c r="D33" s="41"/>
      <c r="E33" s="41"/>
      <c r="F33" s="41"/>
      <c r="G33" s="41"/>
      <c r="H33" s="41"/>
      <c r="I33" s="41"/>
      <c r="J33" s="135"/>
    </row>
    <row r="34" spans="1:10" s="12" customFormat="1" ht="15.75" x14ac:dyDescent="0.25">
      <c r="A34" s="36" t="s">
        <v>93</v>
      </c>
      <c r="B34" s="36"/>
      <c r="C34" s="36"/>
      <c r="D34" s="131"/>
      <c r="E34" s="131"/>
      <c r="F34" s="131"/>
      <c r="G34" s="131"/>
      <c r="H34" s="131"/>
      <c r="I34" s="131"/>
      <c r="J34" s="132"/>
    </row>
    <row r="35" spans="1:10" s="12" customFormat="1" ht="3" customHeight="1" x14ac:dyDescent="0.25">
      <c r="A35" s="26"/>
      <c r="B35" s="26"/>
      <c r="C35" s="26"/>
      <c r="D35" s="40"/>
      <c r="E35" s="39"/>
      <c r="F35" s="39"/>
      <c r="G35" s="39"/>
      <c r="H35" s="39"/>
      <c r="I35" s="39"/>
      <c r="J35" s="39"/>
    </row>
    <row r="36" spans="1:10" s="12" customFormat="1" ht="15.75" x14ac:dyDescent="0.25">
      <c r="A36" s="36" t="s">
        <v>17</v>
      </c>
      <c r="B36" s="36"/>
      <c r="C36" s="36"/>
      <c r="D36" s="129"/>
      <c r="E36" s="129"/>
      <c r="F36" s="129"/>
      <c r="G36" s="129"/>
      <c r="H36" s="129"/>
      <c r="I36" s="129"/>
      <c r="J36" s="130"/>
    </row>
    <row r="37" spans="1:10" s="12" customFormat="1" ht="15.75" x14ac:dyDescent="0.25">
      <c r="A37" s="36" t="s">
        <v>70</v>
      </c>
      <c r="B37" s="36"/>
      <c r="C37" s="36"/>
      <c r="D37" s="131"/>
      <c r="E37" s="131"/>
      <c r="F37" s="131"/>
      <c r="G37" s="131"/>
      <c r="H37" s="131"/>
      <c r="I37" s="131"/>
      <c r="J37" s="132"/>
    </row>
    <row r="38" spans="1:10" s="12" customFormat="1" ht="3" customHeight="1" x14ac:dyDescent="0.25">
      <c r="A38" s="26"/>
      <c r="B38" s="26"/>
      <c r="C38" s="26"/>
      <c r="D38" s="39"/>
      <c r="E38" s="39"/>
      <c r="F38" s="39"/>
      <c r="G38" s="39"/>
      <c r="H38" s="39"/>
      <c r="I38" s="39"/>
      <c r="J38" s="39"/>
    </row>
    <row r="39" spans="1:10" s="12" customFormat="1" ht="72" customHeight="1" x14ac:dyDescent="0.25">
      <c r="A39" s="531" t="s">
        <v>71</v>
      </c>
      <c r="B39" s="532"/>
      <c r="C39" s="532"/>
      <c r="D39" s="532"/>
      <c r="E39" s="532"/>
      <c r="F39" s="532"/>
      <c r="G39" s="532"/>
      <c r="H39" s="532"/>
      <c r="I39" s="532"/>
      <c r="J39" s="533"/>
    </row>
    <row r="40" spans="1:10" s="12" customFormat="1" ht="21" customHeight="1" x14ac:dyDescent="0.25">
      <c r="A40" s="534" t="s">
        <v>72</v>
      </c>
      <c r="B40" s="535"/>
      <c r="C40" s="535"/>
      <c r="D40" s="535"/>
      <c r="E40" s="535"/>
      <c r="F40" s="535" t="s">
        <v>73</v>
      </c>
      <c r="G40" s="535"/>
      <c r="H40" s="535"/>
      <c r="I40" s="535"/>
      <c r="J40" s="536"/>
    </row>
    <row r="41" spans="1:10" s="12" customFormat="1" ht="42" customHeight="1" x14ac:dyDescent="0.25">
      <c r="A41" s="136"/>
      <c r="B41" s="137"/>
      <c r="C41" s="137"/>
      <c r="D41" s="137"/>
      <c r="E41" s="138"/>
      <c r="F41" s="136"/>
      <c r="G41" s="137"/>
      <c r="H41" s="137"/>
      <c r="I41" s="137"/>
      <c r="J41" s="138"/>
    </row>
  </sheetData>
  <mergeCells count="12">
    <mergeCell ref="C22:H22"/>
    <mergeCell ref="I22:J23"/>
    <mergeCell ref="C23:H23"/>
    <mergeCell ref="A39:J39"/>
    <mergeCell ref="A40:E40"/>
    <mergeCell ref="F40:J40"/>
    <mergeCell ref="A18:J18"/>
    <mergeCell ref="A19:E19"/>
    <mergeCell ref="F19:J19"/>
    <mergeCell ref="C1:H1"/>
    <mergeCell ref="C2:H2"/>
    <mergeCell ref="I1:J2"/>
  </mergeCells>
  <pageMargins left="0.39370078740157483" right="0.39370078740157483" top="0.39370078740157483" bottom="0.39370078740157483" header="0" footer="0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7"/>
  <sheetViews>
    <sheetView view="pageBreakPreview" zoomScale="60" zoomScaleNormal="100" workbookViewId="0">
      <selection activeCell="I14" sqref="I14"/>
    </sheetView>
  </sheetViews>
  <sheetFormatPr defaultRowHeight="15" x14ac:dyDescent="0.25"/>
  <cols>
    <col min="1" max="2" width="5.7109375" customWidth="1"/>
    <col min="3" max="3" width="20.7109375" customWidth="1"/>
    <col min="4" max="4" width="7.7109375" customWidth="1"/>
    <col min="5" max="5" width="20.7109375" customWidth="1"/>
    <col min="6" max="6" width="10.7109375" customWidth="1"/>
    <col min="7" max="7" width="18.7109375" customWidth="1"/>
    <col min="8" max="8" width="18.7109375" style="12" customWidth="1"/>
    <col min="9" max="9" width="15.7109375" customWidth="1"/>
    <col min="10" max="10" width="10.7109375" customWidth="1"/>
    <col min="11" max="11" width="18.7109375" customWidth="1"/>
    <col min="12" max="12" width="18.7109375" style="12" customWidth="1"/>
    <col min="13" max="13" width="15.7109375" customWidth="1"/>
    <col min="14" max="14" width="10.7109375" customWidth="1"/>
  </cols>
  <sheetData>
    <row r="1" spans="1:15" s="12" customFormat="1" ht="21" customHeight="1" x14ac:dyDescent="0.25">
      <c r="A1" s="57"/>
      <c r="B1" s="57"/>
      <c r="C1" s="57"/>
      <c r="D1" s="537" t="str">
        <f>НазваниеПолное</f>
        <v>Ралли "Skoda Rally Weekend - 2017"</v>
      </c>
      <c r="E1" s="537"/>
      <c r="F1" s="537"/>
      <c r="G1" s="537"/>
      <c r="H1" s="537"/>
      <c r="I1" s="537"/>
      <c r="J1" s="537"/>
      <c r="K1" s="537"/>
      <c r="L1" s="537"/>
      <c r="M1" s="537"/>
      <c r="N1" s="545"/>
    </row>
    <row r="2" spans="1:15" s="12" customFormat="1" ht="21" x14ac:dyDescent="0.25">
      <c r="A2" s="57"/>
      <c r="B2" s="57"/>
      <c r="C2" s="57"/>
      <c r="D2" s="546" t="s">
        <v>202</v>
      </c>
      <c r="E2" s="546"/>
      <c r="F2" s="546"/>
      <c r="G2" s="546"/>
      <c r="H2" s="546"/>
      <c r="I2" s="546"/>
      <c r="J2" s="546"/>
      <c r="K2" s="546"/>
      <c r="L2" s="546"/>
      <c r="M2" s="546"/>
      <c r="N2" s="547"/>
    </row>
    <row r="3" spans="1:15" ht="60" customHeight="1" x14ac:dyDescent="0.25">
      <c r="A3" s="542" t="s">
        <v>158</v>
      </c>
      <c r="B3" s="543"/>
      <c r="C3" s="543"/>
      <c r="D3" s="543"/>
      <c r="E3" s="543"/>
      <c r="F3" s="543"/>
      <c r="G3" s="543"/>
      <c r="H3" s="543"/>
      <c r="I3" s="543"/>
      <c r="J3" s="543"/>
      <c r="K3" s="543"/>
      <c r="L3" s="543"/>
      <c r="M3" s="543"/>
      <c r="N3" s="544"/>
      <c r="O3" s="12"/>
    </row>
    <row r="4" spans="1:15" ht="30" customHeight="1" x14ac:dyDescent="0.25">
      <c r="A4" s="346" t="s">
        <v>124</v>
      </c>
      <c r="B4" s="82" t="s">
        <v>127</v>
      </c>
      <c r="C4" s="82" t="s">
        <v>134</v>
      </c>
      <c r="D4" s="82" t="s">
        <v>20</v>
      </c>
      <c r="E4" s="82" t="s">
        <v>123</v>
      </c>
      <c r="F4" s="82" t="s">
        <v>70</v>
      </c>
      <c r="G4" s="82" t="s">
        <v>125</v>
      </c>
      <c r="H4" s="82" t="s">
        <v>13</v>
      </c>
      <c r="I4" s="82" t="s">
        <v>68</v>
      </c>
      <c r="J4" s="82" t="s">
        <v>93</v>
      </c>
      <c r="K4" s="82" t="s">
        <v>126</v>
      </c>
      <c r="L4" s="82" t="s">
        <v>13</v>
      </c>
      <c r="M4" s="82" t="s">
        <v>68</v>
      </c>
      <c r="N4" s="83" t="s">
        <v>93</v>
      </c>
      <c r="O4" s="12"/>
    </row>
    <row r="5" spans="1:15" ht="20.100000000000001" customHeight="1" x14ac:dyDescent="0.25">
      <c r="A5" s="139">
        <v>1</v>
      </c>
      <c r="B5" s="349">
        <v>1</v>
      </c>
      <c r="C5" s="53" t="s">
        <v>262</v>
      </c>
      <c r="D5" s="52" t="s">
        <v>28</v>
      </c>
      <c r="E5" s="53" t="s">
        <v>263</v>
      </c>
      <c r="F5" s="52" t="s">
        <v>264</v>
      </c>
      <c r="G5" s="53" t="s">
        <v>474</v>
      </c>
      <c r="H5" s="53"/>
      <c r="I5" s="54">
        <v>89156573067</v>
      </c>
      <c r="J5" s="53" t="s">
        <v>7</v>
      </c>
      <c r="K5" s="53" t="s">
        <v>475</v>
      </c>
      <c r="L5" s="53"/>
      <c r="M5" s="54">
        <v>89525367628</v>
      </c>
      <c r="N5" s="140" t="s">
        <v>7</v>
      </c>
      <c r="O5" s="12"/>
    </row>
    <row r="6" spans="1:15" ht="20.100000000000001" customHeight="1" x14ac:dyDescent="0.25">
      <c r="A6" s="141">
        <f>1+A5</f>
        <v>2</v>
      </c>
      <c r="B6" s="350">
        <v>2</v>
      </c>
      <c r="C6" s="50" t="s">
        <v>131</v>
      </c>
      <c r="D6" s="49" t="s">
        <v>28</v>
      </c>
      <c r="E6" s="50" t="s">
        <v>240</v>
      </c>
      <c r="F6" s="49" t="s">
        <v>241</v>
      </c>
      <c r="G6" s="50" t="s">
        <v>132</v>
      </c>
      <c r="H6" s="50"/>
      <c r="I6" s="51">
        <v>89206678188</v>
      </c>
      <c r="J6" s="50" t="s">
        <v>7</v>
      </c>
      <c r="K6" s="50" t="s">
        <v>133</v>
      </c>
      <c r="L6" s="50"/>
      <c r="M6" s="51">
        <v>89525339977</v>
      </c>
      <c r="N6" s="142" t="s">
        <v>7</v>
      </c>
      <c r="O6" s="12"/>
    </row>
    <row r="7" spans="1:15" ht="20.100000000000001" customHeight="1" x14ac:dyDescent="0.25">
      <c r="A7" s="141">
        <f t="shared" ref="A7:A27" si="0">1+A6</f>
        <v>3</v>
      </c>
      <c r="B7" s="350">
        <v>3</v>
      </c>
      <c r="C7" s="50" t="s">
        <v>448</v>
      </c>
      <c r="D7" s="49" t="s">
        <v>28</v>
      </c>
      <c r="E7" s="50" t="s">
        <v>449</v>
      </c>
      <c r="F7" s="49" t="s">
        <v>476</v>
      </c>
      <c r="G7" s="50" t="s">
        <v>450</v>
      </c>
      <c r="H7" s="50"/>
      <c r="I7" s="51">
        <v>89043694439</v>
      </c>
      <c r="J7" s="50" t="s">
        <v>7</v>
      </c>
      <c r="K7" s="50" t="s">
        <v>451</v>
      </c>
      <c r="L7" s="50"/>
      <c r="M7" s="51">
        <v>89963468498</v>
      </c>
      <c r="N7" s="142" t="s">
        <v>7</v>
      </c>
      <c r="O7" s="12"/>
    </row>
    <row r="8" spans="1:15" ht="20.100000000000001" customHeight="1" x14ac:dyDescent="0.25">
      <c r="A8" s="141">
        <f t="shared" si="0"/>
        <v>4</v>
      </c>
      <c r="B8" s="350">
        <v>4</v>
      </c>
      <c r="C8" s="50" t="s">
        <v>461</v>
      </c>
      <c r="D8" s="49" t="s">
        <v>28</v>
      </c>
      <c r="E8" s="50" t="s">
        <v>462</v>
      </c>
      <c r="F8" s="49" t="s">
        <v>477</v>
      </c>
      <c r="G8" s="50" t="s">
        <v>463</v>
      </c>
      <c r="H8" s="50"/>
      <c r="I8" s="51" t="s">
        <v>478</v>
      </c>
      <c r="J8" s="50" t="s">
        <v>479</v>
      </c>
      <c r="K8" s="50" t="s">
        <v>464</v>
      </c>
      <c r="L8" s="50"/>
      <c r="M8" s="51">
        <v>89996214749</v>
      </c>
      <c r="N8" s="142" t="s">
        <v>479</v>
      </c>
      <c r="O8" s="12"/>
    </row>
    <row r="9" spans="1:15" ht="20.100000000000001" customHeight="1" x14ac:dyDescent="0.25">
      <c r="A9" s="141">
        <f t="shared" si="0"/>
        <v>5</v>
      </c>
      <c r="B9" s="350">
        <v>5</v>
      </c>
      <c r="C9" s="50" t="s">
        <v>473</v>
      </c>
      <c r="D9" s="49" t="s">
        <v>28</v>
      </c>
      <c r="E9" s="50" t="s">
        <v>256</v>
      </c>
      <c r="F9" s="49" t="s">
        <v>480</v>
      </c>
      <c r="G9" s="50" t="s">
        <v>471</v>
      </c>
      <c r="H9" s="50"/>
      <c r="I9" s="51">
        <v>89257092840</v>
      </c>
      <c r="J9" s="50" t="s">
        <v>481</v>
      </c>
      <c r="K9" s="50" t="s">
        <v>472</v>
      </c>
      <c r="L9" s="50"/>
      <c r="M9" s="51">
        <v>89268465743</v>
      </c>
      <c r="N9" s="142" t="s">
        <v>481</v>
      </c>
      <c r="O9" s="12"/>
    </row>
    <row r="10" spans="1:15" ht="20.100000000000001" customHeight="1" x14ac:dyDescent="0.25">
      <c r="A10" s="141">
        <f t="shared" si="0"/>
        <v>6</v>
      </c>
      <c r="B10" s="350">
        <v>6</v>
      </c>
      <c r="C10" s="50" t="s">
        <v>243</v>
      </c>
      <c r="D10" s="49" t="s">
        <v>28</v>
      </c>
      <c r="E10" s="50" t="s">
        <v>441</v>
      </c>
      <c r="F10" s="49" t="s">
        <v>482</v>
      </c>
      <c r="G10" s="50" t="s">
        <v>130</v>
      </c>
      <c r="H10" s="50"/>
      <c r="I10" s="51">
        <v>89529955249</v>
      </c>
      <c r="J10" s="50" t="s">
        <v>7</v>
      </c>
      <c r="K10" s="50" t="s">
        <v>244</v>
      </c>
      <c r="L10" s="50"/>
      <c r="M10" s="51">
        <v>89517110092</v>
      </c>
      <c r="N10" s="142" t="s">
        <v>7</v>
      </c>
      <c r="O10" s="12"/>
    </row>
    <row r="11" spans="1:15" ht="20.100000000000001" customHeight="1" x14ac:dyDescent="0.25">
      <c r="A11" s="141">
        <f t="shared" si="0"/>
        <v>7</v>
      </c>
      <c r="B11" s="350">
        <v>7</v>
      </c>
      <c r="C11" s="50" t="s">
        <v>108</v>
      </c>
      <c r="D11" s="49" t="s">
        <v>28</v>
      </c>
      <c r="E11" s="50" t="s">
        <v>245</v>
      </c>
      <c r="F11" s="49" t="s">
        <v>483</v>
      </c>
      <c r="G11" s="50" t="s">
        <v>109</v>
      </c>
      <c r="H11" s="50"/>
      <c r="I11" s="51">
        <v>89515922612</v>
      </c>
      <c r="J11" s="50" t="s">
        <v>7</v>
      </c>
      <c r="K11" s="50" t="s">
        <v>74</v>
      </c>
      <c r="L11" s="50"/>
      <c r="M11" s="51">
        <v>89107868092</v>
      </c>
      <c r="N11" s="142" t="s">
        <v>7</v>
      </c>
      <c r="O11" s="12"/>
    </row>
    <row r="12" spans="1:15" ht="20.100000000000001" customHeight="1" x14ac:dyDescent="0.25">
      <c r="A12" s="141">
        <f t="shared" si="0"/>
        <v>8</v>
      </c>
      <c r="B12" s="350">
        <v>8</v>
      </c>
      <c r="C12" s="50" t="s">
        <v>114</v>
      </c>
      <c r="D12" s="49" t="s">
        <v>28</v>
      </c>
      <c r="E12" s="50" t="s">
        <v>103</v>
      </c>
      <c r="F12" s="49" t="s">
        <v>242</v>
      </c>
      <c r="G12" s="50" t="s">
        <v>115</v>
      </c>
      <c r="H12" s="50"/>
      <c r="I12" s="51">
        <v>89517008231</v>
      </c>
      <c r="J12" s="50" t="s">
        <v>7</v>
      </c>
      <c r="K12" s="50" t="s">
        <v>116</v>
      </c>
      <c r="L12" s="50"/>
      <c r="M12" s="51">
        <v>89516964634</v>
      </c>
      <c r="N12" s="142" t="s">
        <v>7</v>
      </c>
      <c r="O12" s="12"/>
    </row>
    <row r="13" spans="1:15" ht="20.100000000000001" customHeight="1" x14ac:dyDescent="0.25">
      <c r="A13" s="141">
        <f t="shared" si="0"/>
        <v>9</v>
      </c>
      <c r="B13" s="350">
        <v>9</v>
      </c>
      <c r="C13" s="50" t="s">
        <v>246</v>
      </c>
      <c r="D13" s="49" t="s">
        <v>28</v>
      </c>
      <c r="E13" s="50" t="s">
        <v>442</v>
      </c>
      <c r="F13" s="49" t="s">
        <v>484</v>
      </c>
      <c r="G13" s="50" t="s">
        <v>248</v>
      </c>
      <c r="H13" s="50"/>
      <c r="I13" s="51">
        <v>89621988845</v>
      </c>
      <c r="J13" s="50" t="s">
        <v>7</v>
      </c>
      <c r="K13" s="50" t="s">
        <v>247</v>
      </c>
      <c r="L13" s="50"/>
      <c r="M13" s="51">
        <v>89043663333</v>
      </c>
      <c r="N13" s="142" t="s">
        <v>7</v>
      </c>
      <c r="O13" s="12"/>
    </row>
    <row r="14" spans="1:15" ht="20.100000000000001" customHeight="1" x14ac:dyDescent="0.25">
      <c r="A14" s="141">
        <f t="shared" si="0"/>
        <v>10</v>
      </c>
      <c r="B14" s="350">
        <v>10</v>
      </c>
      <c r="C14" s="50"/>
      <c r="D14" s="49" t="s">
        <v>28</v>
      </c>
      <c r="E14" s="50" t="s">
        <v>105</v>
      </c>
      <c r="F14" s="49" t="s">
        <v>249</v>
      </c>
      <c r="G14" s="50" t="s">
        <v>106</v>
      </c>
      <c r="H14" s="50"/>
      <c r="I14" s="51">
        <v>89107143236</v>
      </c>
      <c r="J14" s="50" t="s">
        <v>7</v>
      </c>
      <c r="K14" s="50" t="s">
        <v>107</v>
      </c>
      <c r="L14" s="50"/>
      <c r="M14" s="51">
        <v>89107203640</v>
      </c>
      <c r="N14" s="142" t="s">
        <v>7</v>
      </c>
      <c r="O14" s="12"/>
    </row>
    <row r="15" spans="1:15" ht="20.100000000000001" customHeight="1" x14ac:dyDescent="0.25">
      <c r="A15" s="141">
        <f t="shared" si="0"/>
        <v>11</v>
      </c>
      <c r="B15" s="350">
        <v>11</v>
      </c>
      <c r="C15" s="50" t="s">
        <v>444</v>
      </c>
      <c r="D15" s="49" t="s">
        <v>28</v>
      </c>
      <c r="E15" s="50" t="s">
        <v>445</v>
      </c>
      <c r="F15" s="49" t="s">
        <v>485</v>
      </c>
      <c r="G15" s="50" t="s">
        <v>446</v>
      </c>
      <c r="H15" s="50"/>
      <c r="I15" s="51">
        <v>89043688777</v>
      </c>
      <c r="J15" s="50" t="s">
        <v>7</v>
      </c>
      <c r="K15" s="50" t="s">
        <v>447</v>
      </c>
      <c r="L15" s="50"/>
      <c r="M15" s="51">
        <v>89107116001</v>
      </c>
      <c r="N15" s="142" t="s">
        <v>7</v>
      </c>
      <c r="O15" s="12"/>
    </row>
    <row r="16" spans="1:15" ht="20.100000000000001" customHeight="1" x14ac:dyDescent="0.25">
      <c r="A16" s="141">
        <f t="shared" si="0"/>
        <v>12</v>
      </c>
      <c r="B16" s="350">
        <v>12</v>
      </c>
      <c r="C16" s="50" t="s">
        <v>456</v>
      </c>
      <c r="D16" s="49" t="s">
        <v>28</v>
      </c>
      <c r="E16" s="50" t="s">
        <v>457</v>
      </c>
      <c r="F16" s="49" t="s">
        <v>486</v>
      </c>
      <c r="G16" s="50" t="s">
        <v>458</v>
      </c>
      <c r="H16" s="50"/>
      <c r="I16" s="51">
        <v>89621922243</v>
      </c>
      <c r="J16" s="50" t="s">
        <v>7</v>
      </c>
      <c r="K16" s="50" t="s">
        <v>459</v>
      </c>
      <c r="L16" s="50"/>
      <c r="M16" s="51">
        <v>89203230593</v>
      </c>
      <c r="N16" s="142" t="s">
        <v>7</v>
      </c>
      <c r="O16" s="12"/>
    </row>
    <row r="17" spans="1:15" ht="20.100000000000001" customHeight="1" x14ac:dyDescent="0.25">
      <c r="A17" s="141">
        <f t="shared" si="0"/>
        <v>13</v>
      </c>
      <c r="B17" s="350">
        <v>13</v>
      </c>
      <c r="C17" s="50" t="s">
        <v>452</v>
      </c>
      <c r="D17" s="49" t="s">
        <v>28</v>
      </c>
      <c r="E17" s="50" t="s">
        <v>453</v>
      </c>
      <c r="F17" s="49" t="s">
        <v>487</v>
      </c>
      <c r="G17" s="50" t="s">
        <v>454</v>
      </c>
      <c r="H17" s="50"/>
      <c r="I17" s="51">
        <v>89206679360</v>
      </c>
      <c r="J17" s="50" t="s">
        <v>7</v>
      </c>
      <c r="K17" s="50" t="s">
        <v>455</v>
      </c>
      <c r="L17" s="50"/>
      <c r="M17" s="51" t="s">
        <v>488</v>
      </c>
      <c r="N17" s="142" t="s">
        <v>7</v>
      </c>
      <c r="O17" s="12"/>
    </row>
    <row r="18" spans="1:15" ht="20.100000000000001" customHeight="1" x14ac:dyDescent="0.25">
      <c r="A18" s="141">
        <f t="shared" si="0"/>
        <v>14</v>
      </c>
      <c r="B18" s="350">
        <v>14</v>
      </c>
      <c r="C18" s="50" t="s">
        <v>250</v>
      </c>
      <c r="D18" s="49" t="s">
        <v>28</v>
      </c>
      <c r="E18" s="50" t="s">
        <v>460</v>
      </c>
      <c r="F18" s="49" t="s">
        <v>251</v>
      </c>
      <c r="G18" s="50" t="s">
        <v>121</v>
      </c>
      <c r="H18" s="50"/>
      <c r="I18" s="51">
        <v>89051635365</v>
      </c>
      <c r="J18" s="50" t="s">
        <v>7</v>
      </c>
      <c r="K18" s="50" t="s">
        <v>122</v>
      </c>
      <c r="L18" s="50"/>
      <c r="M18" s="51">
        <v>89002200730</v>
      </c>
      <c r="N18" s="142" t="s">
        <v>7</v>
      </c>
      <c r="O18" s="12"/>
    </row>
    <row r="19" spans="1:15" ht="20.100000000000001" customHeight="1" x14ac:dyDescent="0.25">
      <c r="A19" s="141">
        <f t="shared" si="0"/>
        <v>15</v>
      </c>
      <c r="B19" s="350">
        <v>15</v>
      </c>
      <c r="C19" s="50" t="s">
        <v>111</v>
      </c>
      <c r="D19" s="49" t="s">
        <v>28</v>
      </c>
      <c r="E19" s="50" t="s">
        <v>440</v>
      </c>
      <c r="F19" s="49" t="s">
        <v>254</v>
      </c>
      <c r="G19" s="50" t="s">
        <v>40</v>
      </c>
      <c r="H19" s="50"/>
      <c r="I19" s="51">
        <v>89082812929</v>
      </c>
      <c r="J19" s="50" t="s">
        <v>7</v>
      </c>
      <c r="K19" s="50" t="s">
        <v>112</v>
      </c>
      <c r="L19" s="50"/>
      <c r="M19" s="51">
        <v>89107690162</v>
      </c>
      <c r="N19" s="142" t="s">
        <v>7</v>
      </c>
      <c r="O19" s="12"/>
    </row>
    <row r="20" spans="1:15" ht="20.100000000000001" customHeight="1" x14ac:dyDescent="0.25">
      <c r="A20" s="141">
        <f t="shared" si="0"/>
        <v>16</v>
      </c>
      <c r="B20" s="350">
        <v>16</v>
      </c>
      <c r="C20" s="50" t="s">
        <v>252</v>
      </c>
      <c r="D20" s="49" t="s">
        <v>28</v>
      </c>
      <c r="E20" s="50" t="s">
        <v>489</v>
      </c>
      <c r="F20" s="49" t="s">
        <v>490</v>
      </c>
      <c r="G20" s="50" t="s">
        <v>491</v>
      </c>
      <c r="H20" s="50"/>
      <c r="I20" s="51">
        <v>89055032332</v>
      </c>
      <c r="J20" s="50" t="s">
        <v>7</v>
      </c>
      <c r="K20" s="50" t="s">
        <v>492</v>
      </c>
      <c r="L20" s="50"/>
      <c r="M20" s="51">
        <v>89056986099</v>
      </c>
      <c r="N20" s="142" t="s">
        <v>7</v>
      </c>
      <c r="O20" s="12"/>
    </row>
    <row r="21" spans="1:15" ht="20.100000000000001" customHeight="1" x14ac:dyDescent="0.25">
      <c r="A21" s="141">
        <f t="shared" si="0"/>
        <v>17</v>
      </c>
      <c r="B21" s="350">
        <v>17</v>
      </c>
      <c r="C21" s="50" t="s">
        <v>42</v>
      </c>
      <c r="D21" s="49" t="s">
        <v>28</v>
      </c>
      <c r="E21" s="50" t="s">
        <v>443</v>
      </c>
      <c r="F21" s="49" t="s">
        <v>493</v>
      </c>
      <c r="G21" s="50" t="s">
        <v>43</v>
      </c>
      <c r="H21" s="50"/>
      <c r="I21" s="51">
        <v>89082804540</v>
      </c>
      <c r="J21" s="50" t="s">
        <v>7</v>
      </c>
      <c r="K21" s="50" t="s">
        <v>113</v>
      </c>
      <c r="L21" s="50"/>
      <c r="M21" s="51">
        <v>89517002210</v>
      </c>
      <c r="N21" s="142" t="s">
        <v>253</v>
      </c>
      <c r="O21" s="12"/>
    </row>
    <row r="22" spans="1:15" ht="20.100000000000001" customHeight="1" x14ac:dyDescent="0.25">
      <c r="A22" s="141">
        <f t="shared" si="0"/>
        <v>18</v>
      </c>
      <c r="B22" s="350">
        <v>18</v>
      </c>
      <c r="C22" s="50" t="s">
        <v>104</v>
      </c>
      <c r="D22" s="49" t="s">
        <v>27</v>
      </c>
      <c r="E22" s="50" t="s">
        <v>257</v>
      </c>
      <c r="F22" s="49" t="s">
        <v>494</v>
      </c>
      <c r="G22" s="50" t="s">
        <v>465</v>
      </c>
      <c r="H22" s="50"/>
      <c r="I22" s="51">
        <v>89203030904</v>
      </c>
      <c r="J22" s="50" t="s">
        <v>7</v>
      </c>
      <c r="K22" s="50" t="s">
        <v>466</v>
      </c>
      <c r="L22" s="50"/>
      <c r="M22" s="51">
        <v>89203030904</v>
      </c>
      <c r="N22" s="142" t="s">
        <v>7</v>
      </c>
      <c r="O22" s="12"/>
    </row>
    <row r="23" spans="1:15" ht="20.100000000000001" customHeight="1" x14ac:dyDescent="0.25">
      <c r="A23" s="141">
        <f t="shared" si="0"/>
        <v>19</v>
      </c>
      <c r="B23" s="350">
        <v>19</v>
      </c>
      <c r="C23" s="50" t="s">
        <v>117</v>
      </c>
      <c r="D23" s="49" t="s">
        <v>27</v>
      </c>
      <c r="E23" s="50" t="s">
        <v>258</v>
      </c>
      <c r="F23" s="49" t="s">
        <v>495</v>
      </c>
      <c r="G23" s="50" t="s">
        <v>118</v>
      </c>
      <c r="H23" s="50"/>
      <c r="I23" s="51">
        <v>89036495577</v>
      </c>
      <c r="J23" s="50" t="s">
        <v>7</v>
      </c>
      <c r="K23" s="50" t="s">
        <v>119</v>
      </c>
      <c r="L23" s="50"/>
      <c r="M23" s="51">
        <v>89206617131</v>
      </c>
      <c r="N23" s="142" t="s">
        <v>7</v>
      </c>
      <c r="O23" s="12"/>
    </row>
    <row r="24" spans="1:15" ht="20.100000000000001" customHeight="1" x14ac:dyDescent="0.25">
      <c r="A24" s="141">
        <f t="shared" si="0"/>
        <v>20</v>
      </c>
      <c r="B24" s="350">
        <v>20</v>
      </c>
      <c r="C24" s="50" t="s">
        <v>467</v>
      </c>
      <c r="D24" s="49" t="s">
        <v>27</v>
      </c>
      <c r="E24" s="50" t="s">
        <v>468</v>
      </c>
      <c r="F24" s="49" t="s">
        <v>259</v>
      </c>
      <c r="G24" s="50" t="s">
        <v>260</v>
      </c>
      <c r="H24" s="50"/>
      <c r="I24" s="51">
        <v>89043632356</v>
      </c>
      <c r="J24" s="50" t="s">
        <v>7</v>
      </c>
      <c r="K24" s="50" t="s">
        <v>75</v>
      </c>
      <c r="L24" s="50"/>
      <c r="M24" s="51">
        <v>89156314160</v>
      </c>
      <c r="N24" s="142" t="s">
        <v>7</v>
      </c>
      <c r="O24" s="12"/>
    </row>
    <row r="25" spans="1:15" s="12" customFormat="1" ht="20.100000000000001" customHeight="1" x14ac:dyDescent="0.25">
      <c r="A25" s="141">
        <f t="shared" si="0"/>
        <v>21</v>
      </c>
      <c r="B25" s="350">
        <v>21</v>
      </c>
      <c r="C25" s="50" t="s">
        <v>238</v>
      </c>
      <c r="D25" s="49" t="s">
        <v>27</v>
      </c>
      <c r="E25" s="50" t="s">
        <v>39</v>
      </c>
      <c r="F25" s="49" t="s">
        <v>239</v>
      </c>
      <c r="G25" s="50" t="s">
        <v>76</v>
      </c>
      <c r="H25" s="50"/>
      <c r="I25" s="51">
        <v>89107812983</v>
      </c>
      <c r="J25" s="50" t="s">
        <v>7</v>
      </c>
      <c r="K25" s="50" t="s">
        <v>77</v>
      </c>
      <c r="L25" s="50"/>
      <c r="M25" s="51">
        <v>89156341983</v>
      </c>
      <c r="N25" s="142" t="s">
        <v>7</v>
      </c>
    </row>
    <row r="26" spans="1:15" s="12" customFormat="1" ht="20.100000000000001" customHeight="1" x14ac:dyDescent="0.25">
      <c r="A26" s="141">
        <f t="shared" si="0"/>
        <v>22</v>
      </c>
      <c r="B26" s="350">
        <v>22</v>
      </c>
      <c r="C26" s="50" t="s">
        <v>128</v>
      </c>
      <c r="D26" s="49" t="s">
        <v>27</v>
      </c>
      <c r="E26" s="50" t="s">
        <v>469</v>
      </c>
      <c r="F26" s="49" t="s">
        <v>496</v>
      </c>
      <c r="G26" s="50" t="s">
        <v>129</v>
      </c>
      <c r="H26" s="50"/>
      <c r="I26" s="51">
        <v>89101198313</v>
      </c>
      <c r="J26" s="50" t="s">
        <v>497</v>
      </c>
      <c r="K26" s="50" t="s">
        <v>470</v>
      </c>
      <c r="L26" s="50"/>
      <c r="M26" s="51">
        <v>89206665225</v>
      </c>
      <c r="N26" s="142" t="s">
        <v>7</v>
      </c>
    </row>
    <row r="27" spans="1:15" s="12" customFormat="1" ht="20.100000000000001" customHeight="1" x14ac:dyDescent="0.25">
      <c r="A27" s="143">
        <f t="shared" si="0"/>
        <v>23</v>
      </c>
      <c r="B27" s="351">
        <v>23</v>
      </c>
      <c r="C27" s="145" t="s">
        <v>110</v>
      </c>
      <c r="D27" s="144" t="s">
        <v>27</v>
      </c>
      <c r="E27" s="145" t="s">
        <v>255</v>
      </c>
      <c r="F27" s="144">
        <v>588</v>
      </c>
      <c r="G27" s="145" t="s">
        <v>41</v>
      </c>
      <c r="H27" s="145"/>
      <c r="I27" s="146">
        <v>89107835711</v>
      </c>
      <c r="J27" s="145" t="s">
        <v>7</v>
      </c>
      <c r="K27" s="145" t="s">
        <v>498</v>
      </c>
      <c r="L27" s="145"/>
      <c r="M27" s="146" t="s">
        <v>499</v>
      </c>
      <c r="N27" s="147" t="s">
        <v>7</v>
      </c>
    </row>
  </sheetData>
  <mergeCells count="3">
    <mergeCell ref="A3:N3"/>
    <mergeCell ref="D1:N1"/>
    <mergeCell ref="D2:N2"/>
  </mergeCells>
  <pageMargins left="0.39370078740157483" right="0.39370078740157483" top="0.39370078740157483" bottom="0.78740157480314965" header="0" footer="0.39370078740157483"/>
  <pageSetup paperSize="8" scale="69" orientation="landscape" horizontalDpi="300" r:id="rId1"/>
  <headerFooter>
    <oddFooter>Страница  &amp;P из &amp;N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28"/>
  <sheetViews>
    <sheetView view="pageBreakPreview" zoomScaleSheetLayoutView="100" workbookViewId="0">
      <selection sqref="A1:O1"/>
    </sheetView>
  </sheetViews>
  <sheetFormatPr defaultColWidth="9.140625" defaultRowHeight="15" x14ac:dyDescent="0.25"/>
  <cols>
    <col min="1" max="1" width="5.7109375" style="14" customWidth="1"/>
    <col min="2" max="2" width="10.7109375" style="14" customWidth="1"/>
    <col min="3" max="3" width="15.7109375" style="14" customWidth="1"/>
    <col min="4" max="4" width="0.85546875" style="14" customWidth="1"/>
    <col min="5" max="6" width="3.28515625" style="14" customWidth="1"/>
    <col min="7" max="7" width="0.85546875" style="14" customWidth="1"/>
    <col min="8" max="8" width="15.7109375" style="14" customWidth="1"/>
    <col min="9" max="9" width="0.85546875" style="14" customWidth="1"/>
    <col min="10" max="11" width="3.28515625" style="14" customWidth="1"/>
    <col min="12" max="12" width="0.85546875" style="14" customWidth="1"/>
    <col min="13" max="25" width="5.7109375" style="14" customWidth="1"/>
    <col min="26" max="16384" width="9.140625" style="14"/>
  </cols>
  <sheetData>
    <row r="1" spans="1:28" ht="21" customHeight="1" x14ac:dyDescent="0.25">
      <c r="A1" s="566" t="str">
        <f>НазваниеПолное</f>
        <v>Ралли "Skoda Rally Weekend - 2017"</v>
      </c>
      <c r="B1" s="567"/>
      <c r="C1" s="567"/>
      <c r="D1" s="567"/>
      <c r="E1" s="567"/>
      <c r="F1" s="567"/>
      <c r="G1" s="567"/>
      <c r="H1" s="567"/>
      <c r="I1" s="567"/>
      <c r="J1" s="567"/>
      <c r="K1" s="567"/>
      <c r="L1" s="567"/>
      <c r="M1" s="567"/>
      <c r="N1" s="567"/>
      <c r="O1" s="568"/>
      <c r="P1" s="193"/>
      <c r="Q1" s="569" t="str">
        <f ca="1">INDIRECT(ADDRESS($AB$1,1,,,"Общее"))</f>
        <v>ТИ-0</v>
      </c>
      <c r="R1" s="569"/>
      <c r="S1" s="569"/>
      <c r="T1" s="569"/>
      <c r="U1" s="569"/>
      <c r="V1" s="569"/>
      <c r="W1" s="569"/>
      <c r="X1" s="569"/>
      <c r="Y1" s="569"/>
      <c r="AA1" s="14" t="s">
        <v>153</v>
      </c>
      <c r="AB1" s="14">
        <v>12</v>
      </c>
    </row>
    <row r="2" spans="1:28" ht="21" customHeight="1" x14ac:dyDescent="0.25">
      <c r="A2" s="570" t="s">
        <v>11</v>
      </c>
      <c r="B2" s="571"/>
      <c r="C2" s="571"/>
      <c r="D2" s="571"/>
      <c r="E2" s="571"/>
      <c r="F2" s="571"/>
      <c r="G2" s="571"/>
      <c r="H2" s="571"/>
      <c r="I2" s="571"/>
      <c r="J2" s="571"/>
      <c r="K2" s="571"/>
      <c r="L2" s="571"/>
      <c r="M2" s="571"/>
      <c r="N2" s="571"/>
      <c r="O2" s="572"/>
      <c r="P2" s="192"/>
      <c r="Q2" s="569"/>
      <c r="R2" s="569"/>
      <c r="S2" s="569"/>
      <c r="T2" s="569"/>
      <c r="U2" s="569"/>
      <c r="V2" s="569"/>
      <c r="W2" s="569"/>
      <c r="X2" s="569"/>
      <c r="Y2" s="569"/>
    </row>
    <row r="3" spans="1:28" ht="2.1" customHeight="1" x14ac:dyDescent="0.25">
      <c r="A3" s="18"/>
      <c r="B3" s="18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2"/>
      <c r="N3" s="182"/>
      <c r="O3" s="182"/>
      <c r="P3" s="182"/>
    </row>
    <row r="4" spans="1:28" ht="20.100000000000001" customHeight="1" x14ac:dyDescent="0.25">
      <c r="A4" s="548" t="s">
        <v>12</v>
      </c>
      <c r="B4" s="548"/>
      <c r="C4" s="573" t="str">
        <f ca="1">INDIRECT(ADDRESS($AB$1,12,,,"Общее"))</f>
        <v>Борисов</v>
      </c>
      <c r="D4" s="573"/>
      <c r="E4" s="573"/>
      <c r="F4" s="573"/>
      <c r="G4" s="573"/>
      <c r="H4" s="573"/>
      <c r="I4" s="573"/>
      <c r="J4" s="573"/>
      <c r="K4" s="573"/>
      <c r="M4" s="548" t="s">
        <v>268</v>
      </c>
      <c r="N4" s="548"/>
      <c r="O4" s="548"/>
      <c r="P4" s="548"/>
      <c r="Q4" s="548" t="s">
        <v>136</v>
      </c>
      <c r="R4" s="548"/>
      <c r="S4" s="554">
        <f ca="1">INDIRECT(ADDRESS($AB$1,9,,,"Общее"))</f>
        <v>0.41736111111111113</v>
      </c>
      <c r="T4" s="554"/>
      <c r="U4" s="548" t="s">
        <v>135</v>
      </c>
      <c r="V4" s="548"/>
      <c r="W4" s="552" t="s">
        <v>164</v>
      </c>
      <c r="X4" s="552"/>
      <c r="Y4" s="552"/>
    </row>
    <row r="5" spans="1:28" ht="20.100000000000001" customHeight="1" x14ac:dyDescent="0.25">
      <c r="A5" s="548" t="s">
        <v>13</v>
      </c>
      <c r="B5" s="548"/>
      <c r="C5" s="548"/>
      <c r="D5" s="548"/>
      <c r="E5" s="548"/>
      <c r="F5" s="548"/>
      <c r="G5" s="548"/>
      <c r="H5" s="548"/>
      <c r="I5" s="548"/>
      <c r="J5" s="548"/>
      <c r="K5" s="548"/>
      <c r="M5" s="548" t="s">
        <v>269</v>
      </c>
      <c r="N5" s="548"/>
      <c r="O5" s="548"/>
      <c r="P5" s="548"/>
      <c r="Q5" s="548" t="s">
        <v>136</v>
      </c>
      <c r="R5" s="548"/>
      <c r="S5" s="554">
        <f ca="1">INDIRECT(ADDRESS($AB$1,11,,,"Общее"))</f>
        <v>0.47986111111111113</v>
      </c>
      <c r="T5" s="554"/>
      <c r="U5" s="548" t="s">
        <v>135</v>
      </c>
      <c r="V5" s="548"/>
      <c r="W5" s="552" t="s">
        <v>164</v>
      </c>
      <c r="X5" s="552"/>
      <c r="Y5" s="552"/>
    </row>
    <row r="6" spans="1:28" ht="2.1" customHeight="1" x14ac:dyDescent="0.25">
      <c r="A6" s="180"/>
      <c r="B6" s="180"/>
      <c r="C6" s="60"/>
      <c r="D6" s="60"/>
      <c r="E6" s="180"/>
      <c r="F6" s="180"/>
      <c r="G6" s="180"/>
      <c r="H6" s="60"/>
      <c r="I6" s="60"/>
      <c r="J6" s="180"/>
      <c r="K6" s="180"/>
      <c r="L6" s="180"/>
      <c r="M6" s="179"/>
      <c r="N6" s="179"/>
      <c r="O6" s="179"/>
      <c r="P6" s="179"/>
    </row>
    <row r="7" spans="1:28" ht="20.100000000000001" customHeight="1" x14ac:dyDescent="0.25">
      <c r="A7" s="553"/>
      <c r="B7" s="548" t="s">
        <v>0</v>
      </c>
      <c r="C7" s="548" t="s">
        <v>14</v>
      </c>
      <c r="D7" s="555" t="s">
        <v>277</v>
      </c>
      <c r="E7" s="556"/>
      <c r="F7" s="556"/>
      <c r="G7" s="557"/>
      <c r="H7" s="548" t="s">
        <v>278</v>
      </c>
      <c r="I7" s="548" t="s">
        <v>281</v>
      </c>
      <c r="J7" s="548"/>
      <c r="K7" s="548"/>
      <c r="L7" s="548"/>
      <c r="M7" s="561" t="s">
        <v>279</v>
      </c>
      <c r="N7" s="561"/>
      <c r="O7" s="562" t="s">
        <v>280</v>
      </c>
      <c r="P7" s="563"/>
      <c r="Q7" s="548" t="s">
        <v>80</v>
      </c>
      <c r="R7" s="548"/>
      <c r="S7" s="548"/>
      <c r="T7" s="548"/>
      <c r="U7" s="548"/>
      <c r="V7" s="548"/>
      <c r="W7" s="548"/>
      <c r="X7" s="548"/>
      <c r="Y7" s="548"/>
      <c r="AA7" s="14" t="s">
        <v>201</v>
      </c>
    </row>
    <row r="8" spans="1:28" ht="20.100000000000001" customHeight="1" x14ac:dyDescent="0.25">
      <c r="A8" s="553"/>
      <c r="B8" s="548"/>
      <c r="C8" s="548"/>
      <c r="D8" s="558"/>
      <c r="E8" s="559"/>
      <c r="F8" s="559"/>
      <c r="G8" s="560"/>
      <c r="H8" s="548"/>
      <c r="I8" s="548"/>
      <c r="J8" s="548"/>
      <c r="K8" s="548"/>
      <c r="L8" s="548"/>
      <c r="M8" s="561"/>
      <c r="N8" s="561"/>
      <c r="O8" s="564"/>
      <c r="P8" s="565"/>
      <c r="Q8" s="548"/>
      <c r="R8" s="548"/>
      <c r="S8" s="548"/>
      <c r="T8" s="548"/>
      <c r="U8" s="548"/>
      <c r="V8" s="548"/>
      <c r="W8" s="548"/>
      <c r="X8" s="548"/>
      <c r="Y8" s="548"/>
    </row>
    <row r="9" spans="1:28" ht="9.9499999999999993" customHeight="1" x14ac:dyDescent="0.25">
      <c r="A9" s="549">
        <v>1</v>
      </c>
      <c r="B9" s="548"/>
      <c r="C9" s="548"/>
      <c r="D9" s="548"/>
      <c r="E9" s="548"/>
      <c r="F9" s="548"/>
      <c r="G9" s="548"/>
      <c r="H9" s="548"/>
      <c r="I9" s="548"/>
      <c r="J9" s="548"/>
      <c r="K9" s="548"/>
      <c r="L9" s="548"/>
      <c r="M9" s="548"/>
      <c r="N9" s="548"/>
      <c r="O9" s="548"/>
      <c r="P9" s="548"/>
      <c r="Q9" s="548"/>
      <c r="R9" s="548"/>
      <c r="S9" s="548"/>
      <c r="T9" s="548"/>
      <c r="U9" s="548"/>
      <c r="V9" s="548"/>
      <c r="W9" s="548"/>
      <c r="X9" s="548"/>
      <c r="Y9" s="548"/>
    </row>
    <row r="10" spans="1:28" s="27" customFormat="1" ht="20.100000000000001" customHeight="1" x14ac:dyDescent="0.25">
      <c r="A10" s="550"/>
      <c r="B10" s="548"/>
      <c r="C10" s="548"/>
      <c r="D10" s="548"/>
      <c r="E10" s="548"/>
      <c r="F10" s="548"/>
      <c r="G10" s="548"/>
      <c r="H10" s="548"/>
      <c r="I10" s="548"/>
      <c r="J10" s="548"/>
      <c r="K10" s="548"/>
      <c r="L10" s="548"/>
      <c r="M10" s="548"/>
      <c r="N10" s="548"/>
      <c r="O10" s="548"/>
      <c r="P10" s="548"/>
      <c r="Q10" s="548"/>
      <c r="R10" s="548"/>
      <c r="S10" s="548"/>
      <c r="T10" s="548"/>
      <c r="U10" s="548"/>
      <c r="V10" s="548"/>
      <c r="W10" s="548"/>
      <c r="X10" s="548"/>
      <c r="Y10" s="548"/>
      <c r="AA10" s="27" t="s">
        <v>163</v>
      </c>
    </row>
    <row r="11" spans="1:28" ht="9.9499999999999993" customHeight="1" x14ac:dyDescent="0.25">
      <c r="A11" s="551"/>
      <c r="B11" s="548"/>
      <c r="C11" s="548"/>
      <c r="D11" s="548"/>
      <c r="E11" s="548"/>
      <c r="F11" s="548"/>
      <c r="G11" s="548"/>
      <c r="H11" s="548"/>
      <c r="I11" s="548"/>
      <c r="J11" s="548"/>
      <c r="K11" s="548"/>
      <c r="L11" s="548"/>
      <c r="M11" s="548"/>
      <c r="N11" s="548"/>
      <c r="O11" s="548"/>
      <c r="P11" s="548"/>
      <c r="Q11" s="548"/>
      <c r="R11" s="548"/>
      <c r="S11" s="548"/>
      <c r="T11" s="548"/>
      <c r="U11" s="548"/>
      <c r="V11" s="548"/>
      <c r="W11" s="548"/>
      <c r="X11" s="548"/>
      <c r="Y11" s="548"/>
    </row>
    <row r="12" spans="1:28" ht="9.9499999999999993" customHeight="1" x14ac:dyDescent="0.25">
      <c r="A12" s="549">
        <f>1+A9</f>
        <v>2</v>
      </c>
      <c r="B12" s="548"/>
      <c r="C12" s="548"/>
      <c r="D12" s="548"/>
      <c r="E12" s="548"/>
      <c r="F12" s="548"/>
      <c r="G12" s="548"/>
      <c r="H12" s="548"/>
      <c r="I12" s="548"/>
      <c r="J12" s="548"/>
      <c r="K12" s="548"/>
      <c r="L12" s="548"/>
      <c r="M12" s="548"/>
      <c r="N12" s="548"/>
      <c r="O12" s="548"/>
      <c r="P12" s="548"/>
      <c r="Q12" s="548"/>
      <c r="R12" s="548"/>
      <c r="S12" s="548"/>
      <c r="T12" s="548"/>
      <c r="U12" s="548"/>
      <c r="V12" s="548"/>
      <c r="W12" s="548"/>
      <c r="X12" s="548"/>
      <c r="Y12" s="548"/>
    </row>
    <row r="13" spans="1:28" s="27" customFormat="1" ht="20.100000000000001" customHeight="1" x14ac:dyDescent="0.25">
      <c r="A13" s="550"/>
      <c r="B13" s="548"/>
      <c r="C13" s="548"/>
      <c r="D13" s="548"/>
      <c r="E13" s="548"/>
      <c r="F13" s="548"/>
      <c r="G13" s="548"/>
      <c r="H13" s="548"/>
      <c r="I13" s="548"/>
      <c r="J13" s="548"/>
      <c r="K13" s="548"/>
      <c r="L13" s="548"/>
      <c r="M13" s="548"/>
      <c r="N13" s="548"/>
      <c r="O13" s="548"/>
      <c r="P13" s="548"/>
      <c r="Q13" s="548"/>
      <c r="R13" s="548"/>
      <c r="S13" s="548"/>
      <c r="T13" s="548"/>
      <c r="U13" s="548"/>
      <c r="V13" s="548"/>
      <c r="W13" s="548"/>
      <c r="X13" s="548"/>
      <c r="Y13" s="548"/>
    </row>
    <row r="14" spans="1:28" ht="9.9499999999999993" customHeight="1" x14ac:dyDescent="0.25">
      <c r="A14" s="551"/>
      <c r="B14" s="548"/>
      <c r="C14" s="548"/>
      <c r="D14" s="548"/>
      <c r="E14" s="548"/>
      <c r="F14" s="548"/>
      <c r="G14" s="548"/>
      <c r="H14" s="548"/>
      <c r="I14" s="548"/>
      <c r="J14" s="548"/>
      <c r="K14" s="548"/>
      <c r="L14" s="548"/>
      <c r="M14" s="548"/>
      <c r="N14" s="548"/>
      <c r="O14" s="548"/>
      <c r="P14" s="548"/>
      <c r="Q14" s="548"/>
      <c r="R14" s="548"/>
      <c r="S14" s="548"/>
      <c r="T14" s="548"/>
      <c r="U14" s="548"/>
      <c r="V14" s="548"/>
      <c r="W14" s="548"/>
      <c r="X14" s="548"/>
      <c r="Y14" s="548"/>
    </row>
    <row r="15" spans="1:28" ht="9.9499999999999993" customHeight="1" x14ac:dyDescent="0.25">
      <c r="A15" s="549">
        <f>1+A12</f>
        <v>3</v>
      </c>
      <c r="B15" s="548"/>
      <c r="C15" s="548"/>
      <c r="D15" s="548"/>
      <c r="E15" s="548"/>
      <c r="F15" s="548"/>
      <c r="G15" s="548"/>
      <c r="H15" s="548"/>
      <c r="I15" s="548"/>
      <c r="J15" s="548"/>
      <c r="K15" s="548"/>
      <c r="L15" s="548"/>
      <c r="M15" s="548"/>
      <c r="N15" s="548"/>
      <c r="O15" s="548"/>
      <c r="P15" s="548"/>
      <c r="Q15" s="548"/>
      <c r="R15" s="548"/>
      <c r="S15" s="548"/>
      <c r="T15" s="548"/>
      <c r="U15" s="548"/>
      <c r="V15" s="548"/>
      <c r="W15" s="548"/>
      <c r="X15" s="548"/>
      <c r="Y15" s="548"/>
    </row>
    <row r="16" spans="1:28" s="27" customFormat="1" ht="20.100000000000001" customHeight="1" x14ac:dyDescent="0.25">
      <c r="A16" s="550"/>
      <c r="B16" s="548"/>
      <c r="C16" s="548"/>
      <c r="D16" s="548"/>
      <c r="E16" s="548"/>
      <c r="F16" s="548"/>
      <c r="G16" s="548"/>
      <c r="H16" s="548"/>
      <c r="I16" s="548"/>
      <c r="J16" s="548"/>
      <c r="K16" s="548"/>
      <c r="L16" s="548"/>
      <c r="M16" s="548"/>
      <c r="N16" s="548"/>
      <c r="O16" s="548"/>
      <c r="P16" s="548"/>
      <c r="Q16" s="548"/>
      <c r="R16" s="548"/>
      <c r="S16" s="548"/>
      <c r="T16" s="548"/>
      <c r="U16" s="548"/>
      <c r="V16" s="548"/>
      <c r="W16" s="548"/>
      <c r="X16" s="548"/>
      <c r="Y16" s="548"/>
    </row>
    <row r="17" spans="1:25" ht="9.9499999999999993" customHeight="1" x14ac:dyDescent="0.25">
      <c r="A17" s="551"/>
      <c r="B17" s="548"/>
      <c r="C17" s="548"/>
      <c r="D17" s="548"/>
      <c r="E17" s="548"/>
      <c r="F17" s="548"/>
      <c r="G17" s="548"/>
      <c r="H17" s="548"/>
      <c r="I17" s="548"/>
      <c r="J17" s="548"/>
      <c r="K17" s="548"/>
      <c r="L17" s="548"/>
      <c r="M17" s="548"/>
      <c r="N17" s="548"/>
      <c r="O17" s="548"/>
      <c r="P17" s="548"/>
      <c r="Q17" s="548"/>
      <c r="R17" s="548"/>
      <c r="S17" s="548"/>
      <c r="T17" s="548"/>
      <c r="U17" s="548"/>
      <c r="V17" s="548"/>
      <c r="W17" s="548"/>
      <c r="X17" s="548"/>
      <c r="Y17" s="548"/>
    </row>
    <row r="18" spans="1:25" ht="9.9499999999999993" customHeight="1" x14ac:dyDescent="0.25">
      <c r="A18" s="549">
        <f t="shared" ref="A18" si="0">1+A15</f>
        <v>4</v>
      </c>
      <c r="B18" s="548"/>
      <c r="C18" s="548"/>
      <c r="D18" s="548"/>
      <c r="E18" s="548"/>
      <c r="F18" s="548"/>
      <c r="G18" s="548"/>
      <c r="H18" s="548"/>
      <c r="I18" s="548"/>
      <c r="J18" s="548"/>
      <c r="K18" s="548"/>
      <c r="L18" s="548"/>
      <c r="M18" s="548"/>
      <c r="N18" s="548"/>
      <c r="O18" s="548"/>
      <c r="P18" s="548"/>
      <c r="Q18" s="548"/>
      <c r="R18" s="548"/>
      <c r="S18" s="548"/>
      <c r="T18" s="548"/>
      <c r="U18" s="548"/>
      <c r="V18" s="548"/>
      <c r="W18" s="548"/>
      <c r="X18" s="548"/>
      <c r="Y18" s="548"/>
    </row>
    <row r="19" spans="1:25" s="27" customFormat="1" ht="20.100000000000001" customHeight="1" x14ac:dyDescent="0.25">
      <c r="A19" s="550"/>
      <c r="B19" s="548"/>
      <c r="C19" s="548"/>
      <c r="D19" s="548"/>
      <c r="E19" s="548"/>
      <c r="F19" s="548"/>
      <c r="G19" s="548"/>
      <c r="H19" s="548"/>
      <c r="I19" s="548"/>
      <c r="J19" s="548"/>
      <c r="K19" s="548"/>
      <c r="L19" s="548"/>
      <c r="M19" s="548"/>
      <c r="N19" s="548"/>
      <c r="O19" s="548"/>
      <c r="P19" s="548"/>
      <c r="Q19" s="548"/>
      <c r="R19" s="548"/>
      <c r="S19" s="548"/>
      <c r="T19" s="548"/>
      <c r="U19" s="548"/>
      <c r="V19" s="548"/>
      <c r="W19" s="548"/>
      <c r="X19" s="548"/>
      <c r="Y19" s="548"/>
    </row>
    <row r="20" spans="1:25" ht="9.9499999999999993" customHeight="1" x14ac:dyDescent="0.25">
      <c r="A20" s="551"/>
      <c r="B20" s="548"/>
      <c r="C20" s="548"/>
      <c r="D20" s="548"/>
      <c r="E20" s="548"/>
      <c r="F20" s="548"/>
      <c r="G20" s="548"/>
      <c r="H20" s="548"/>
      <c r="I20" s="548"/>
      <c r="J20" s="548"/>
      <c r="K20" s="548"/>
      <c r="L20" s="548"/>
      <c r="M20" s="548"/>
      <c r="N20" s="548"/>
      <c r="O20" s="548"/>
      <c r="P20" s="548"/>
      <c r="Q20" s="548"/>
      <c r="R20" s="548"/>
      <c r="S20" s="548"/>
      <c r="T20" s="548"/>
      <c r="U20" s="548"/>
      <c r="V20" s="548"/>
      <c r="W20" s="548"/>
      <c r="X20" s="548"/>
      <c r="Y20" s="548"/>
    </row>
    <row r="21" spans="1:25" ht="9.9499999999999993" customHeight="1" x14ac:dyDescent="0.25">
      <c r="A21" s="549">
        <f t="shared" ref="A21" si="1">1+A18</f>
        <v>5</v>
      </c>
      <c r="B21" s="548"/>
      <c r="C21" s="548"/>
      <c r="D21" s="548"/>
      <c r="E21" s="548"/>
      <c r="F21" s="548"/>
      <c r="G21" s="548"/>
      <c r="H21" s="548"/>
      <c r="I21" s="548"/>
      <c r="J21" s="548"/>
      <c r="K21" s="548"/>
      <c r="L21" s="548"/>
      <c r="M21" s="548"/>
      <c r="N21" s="548"/>
      <c r="O21" s="548"/>
      <c r="P21" s="548"/>
      <c r="Q21" s="548"/>
      <c r="R21" s="548"/>
      <c r="S21" s="548"/>
      <c r="T21" s="548"/>
      <c r="U21" s="548"/>
      <c r="V21" s="548"/>
      <c r="W21" s="548"/>
      <c r="X21" s="548"/>
      <c r="Y21" s="548"/>
    </row>
    <row r="22" spans="1:25" s="27" customFormat="1" ht="20.100000000000001" customHeight="1" x14ac:dyDescent="0.25">
      <c r="A22" s="550"/>
      <c r="B22" s="548"/>
      <c r="C22" s="548"/>
      <c r="D22" s="548"/>
      <c r="E22" s="548"/>
      <c r="F22" s="548"/>
      <c r="G22" s="548"/>
      <c r="H22" s="548"/>
      <c r="I22" s="548"/>
      <c r="J22" s="548"/>
      <c r="K22" s="548"/>
      <c r="L22" s="548"/>
      <c r="M22" s="548"/>
      <c r="N22" s="548"/>
      <c r="O22" s="548"/>
      <c r="P22" s="548"/>
      <c r="Q22" s="548"/>
      <c r="R22" s="548"/>
      <c r="S22" s="548"/>
      <c r="T22" s="548"/>
      <c r="U22" s="548"/>
      <c r="V22" s="548"/>
      <c r="W22" s="548"/>
      <c r="X22" s="548"/>
      <c r="Y22" s="548"/>
    </row>
    <row r="23" spans="1:25" ht="9.9499999999999993" customHeight="1" x14ac:dyDescent="0.25">
      <c r="A23" s="551"/>
      <c r="B23" s="548"/>
      <c r="C23" s="548"/>
      <c r="D23" s="548"/>
      <c r="E23" s="548"/>
      <c r="F23" s="548"/>
      <c r="G23" s="548"/>
      <c r="H23" s="548"/>
      <c r="I23" s="548"/>
      <c r="J23" s="548"/>
      <c r="K23" s="548"/>
      <c r="L23" s="548"/>
      <c r="M23" s="548"/>
      <c r="N23" s="548"/>
      <c r="O23" s="548"/>
      <c r="P23" s="548"/>
      <c r="Q23" s="548"/>
      <c r="R23" s="548"/>
      <c r="S23" s="548"/>
      <c r="T23" s="548"/>
      <c r="U23" s="548"/>
      <c r="V23" s="548"/>
      <c r="W23" s="548"/>
      <c r="X23" s="548"/>
      <c r="Y23" s="548"/>
    </row>
    <row r="24" spans="1:25" ht="9.9499999999999993" customHeight="1" x14ac:dyDescent="0.25">
      <c r="A24" s="549">
        <f t="shared" ref="A24" si="2">1+A21</f>
        <v>6</v>
      </c>
      <c r="B24" s="548"/>
      <c r="C24" s="548"/>
      <c r="D24" s="548"/>
      <c r="E24" s="548"/>
      <c r="F24" s="548"/>
      <c r="G24" s="548"/>
      <c r="H24" s="548"/>
      <c r="I24" s="548"/>
      <c r="J24" s="548"/>
      <c r="K24" s="548"/>
      <c r="L24" s="548"/>
      <c r="M24" s="548"/>
      <c r="N24" s="548"/>
      <c r="O24" s="548"/>
      <c r="P24" s="548"/>
      <c r="Q24" s="548"/>
      <c r="R24" s="548"/>
      <c r="S24" s="548"/>
      <c r="T24" s="548"/>
      <c r="U24" s="548"/>
      <c r="V24" s="548"/>
      <c r="W24" s="548"/>
      <c r="X24" s="548"/>
      <c r="Y24" s="548"/>
    </row>
    <row r="25" spans="1:25" s="27" customFormat="1" ht="20.100000000000001" customHeight="1" x14ac:dyDescent="0.25">
      <c r="A25" s="550"/>
      <c r="B25" s="548"/>
      <c r="C25" s="548"/>
      <c r="D25" s="548"/>
      <c r="E25" s="548"/>
      <c r="F25" s="548"/>
      <c r="G25" s="548"/>
      <c r="H25" s="548"/>
      <c r="I25" s="548"/>
      <c r="J25" s="548"/>
      <c r="K25" s="548"/>
      <c r="L25" s="548"/>
      <c r="M25" s="548"/>
      <c r="N25" s="548"/>
      <c r="O25" s="548"/>
      <c r="P25" s="548"/>
      <c r="Q25" s="548"/>
      <c r="R25" s="548"/>
      <c r="S25" s="548"/>
      <c r="T25" s="548"/>
      <c r="U25" s="548"/>
      <c r="V25" s="548"/>
      <c r="W25" s="548"/>
      <c r="X25" s="548"/>
      <c r="Y25" s="548"/>
    </row>
    <row r="26" spans="1:25" ht="9.9499999999999993" customHeight="1" x14ac:dyDescent="0.25">
      <c r="A26" s="551"/>
      <c r="B26" s="548"/>
      <c r="C26" s="548"/>
      <c r="D26" s="548"/>
      <c r="E26" s="548"/>
      <c r="F26" s="548"/>
      <c r="G26" s="548"/>
      <c r="H26" s="548"/>
      <c r="I26" s="548"/>
      <c r="J26" s="548"/>
      <c r="K26" s="548"/>
      <c r="L26" s="548"/>
      <c r="M26" s="548"/>
      <c r="N26" s="548"/>
      <c r="O26" s="548"/>
      <c r="P26" s="548"/>
      <c r="Q26" s="548"/>
      <c r="R26" s="548"/>
      <c r="S26" s="548"/>
      <c r="T26" s="548"/>
      <c r="U26" s="548"/>
      <c r="V26" s="548"/>
      <c r="W26" s="548"/>
      <c r="X26" s="548"/>
      <c r="Y26" s="548"/>
    </row>
    <row r="27" spans="1:25" ht="9.9499999999999993" customHeight="1" x14ac:dyDescent="0.25">
      <c r="A27" s="549">
        <f t="shared" ref="A27" si="3">1+A24</f>
        <v>7</v>
      </c>
      <c r="B27" s="548"/>
      <c r="C27" s="548"/>
      <c r="D27" s="548"/>
      <c r="E27" s="548"/>
      <c r="F27" s="548"/>
      <c r="G27" s="548"/>
      <c r="H27" s="548"/>
      <c r="I27" s="548"/>
      <c r="J27" s="548"/>
      <c r="K27" s="548"/>
      <c r="L27" s="548"/>
      <c r="M27" s="548"/>
      <c r="N27" s="548"/>
      <c r="O27" s="548"/>
      <c r="P27" s="548"/>
      <c r="Q27" s="548"/>
      <c r="R27" s="548"/>
      <c r="S27" s="548"/>
      <c r="T27" s="548"/>
      <c r="U27" s="548"/>
      <c r="V27" s="548"/>
      <c r="W27" s="548"/>
      <c r="X27" s="548"/>
      <c r="Y27" s="548"/>
    </row>
    <row r="28" spans="1:25" s="27" customFormat="1" ht="20.100000000000001" customHeight="1" x14ac:dyDescent="0.25">
      <c r="A28" s="550"/>
      <c r="B28" s="548"/>
      <c r="C28" s="548"/>
      <c r="D28" s="548"/>
      <c r="E28" s="548"/>
      <c r="F28" s="548"/>
      <c r="G28" s="548"/>
      <c r="H28" s="548"/>
      <c r="I28" s="548"/>
      <c r="J28" s="548"/>
      <c r="K28" s="548"/>
      <c r="L28" s="548"/>
      <c r="M28" s="548"/>
      <c r="N28" s="548"/>
      <c r="O28" s="548"/>
      <c r="P28" s="548"/>
      <c r="Q28" s="548"/>
      <c r="R28" s="548"/>
      <c r="S28" s="548"/>
      <c r="T28" s="548"/>
      <c r="U28" s="548"/>
      <c r="V28" s="548"/>
      <c r="W28" s="548"/>
      <c r="X28" s="548"/>
      <c r="Y28" s="548"/>
    </row>
    <row r="29" spans="1:25" ht="9.9499999999999993" customHeight="1" x14ac:dyDescent="0.25">
      <c r="A29" s="551"/>
      <c r="B29" s="548"/>
      <c r="C29" s="548"/>
      <c r="D29" s="548"/>
      <c r="E29" s="548"/>
      <c r="F29" s="548"/>
      <c r="G29" s="548"/>
      <c r="H29" s="548"/>
      <c r="I29" s="548"/>
      <c r="J29" s="548"/>
      <c r="K29" s="548"/>
      <c r="L29" s="548"/>
      <c r="M29" s="548"/>
      <c r="N29" s="548"/>
      <c r="O29" s="548"/>
      <c r="P29" s="548"/>
      <c r="Q29" s="548"/>
      <c r="R29" s="548"/>
      <c r="S29" s="548"/>
      <c r="T29" s="548"/>
      <c r="U29" s="548"/>
      <c r="V29" s="548"/>
      <c r="W29" s="548"/>
      <c r="X29" s="548"/>
      <c r="Y29" s="548"/>
    </row>
    <row r="30" spans="1:25" ht="9.9499999999999993" customHeight="1" x14ac:dyDescent="0.25">
      <c r="A30" s="549">
        <f t="shared" ref="A30" si="4">1+A27</f>
        <v>8</v>
      </c>
      <c r="B30" s="548"/>
      <c r="C30" s="548"/>
      <c r="D30" s="548"/>
      <c r="E30" s="548"/>
      <c r="F30" s="548"/>
      <c r="G30" s="548"/>
      <c r="H30" s="548"/>
      <c r="I30" s="548"/>
      <c r="J30" s="548"/>
      <c r="K30" s="548"/>
      <c r="L30" s="548"/>
      <c r="M30" s="548"/>
      <c r="N30" s="548"/>
      <c r="O30" s="548"/>
      <c r="P30" s="548"/>
      <c r="Q30" s="548"/>
      <c r="R30" s="548"/>
      <c r="S30" s="548"/>
      <c r="T30" s="548"/>
      <c r="U30" s="548"/>
      <c r="V30" s="548"/>
      <c r="W30" s="548"/>
      <c r="X30" s="548"/>
      <c r="Y30" s="548"/>
    </row>
    <row r="31" spans="1:25" s="27" customFormat="1" ht="20.100000000000001" customHeight="1" x14ac:dyDescent="0.25">
      <c r="A31" s="550"/>
      <c r="B31" s="548"/>
      <c r="C31" s="548"/>
      <c r="D31" s="548"/>
      <c r="E31" s="548"/>
      <c r="F31" s="548"/>
      <c r="G31" s="548"/>
      <c r="H31" s="548"/>
      <c r="I31" s="548"/>
      <c r="J31" s="548"/>
      <c r="K31" s="548"/>
      <c r="L31" s="548"/>
      <c r="M31" s="548"/>
      <c r="N31" s="548"/>
      <c r="O31" s="548"/>
      <c r="P31" s="548"/>
      <c r="Q31" s="548"/>
      <c r="R31" s="548"/>
      <c r="S31" s="548"/>
      <c r="T31" s="548"/>
      <c r="U31" s="548"/>
      <c r="V31" s="548"/>
      <c r="W31" s="548"/>
      <c r="X31" s="548"/>
      <c r="Y31" s="548"/>
    </row>
    <row r="32" spans="1:25" ht="9.9499999999999993" customHeight="1" x14ac:dyDescent="0.25">
      <c r="A32" s="551"/>
      <c r="B32" s="548"/>
      <c r="C32" s="548"/>
      <c r="D32" s="548"/>
      <c r="E32" s="548"/>
      <c r="F32" s="548"/>
      <c r="G32" s="548"/>
      <c r="H32" s="548"/>
      <c r="I32" s="548"/>
      <c r="J32" s="548"/>
      <c r="K32" s="548"/>
      <c r="L32" s="548"/>
      <c r="M32" s="548"/>
      <c r="N32" s="548"/>
      <c r="O32" s="548"/>
      <c r="P32" s="548"/>
      <c r="Q32" s="548"/>
      <c r="R32" s="548"/>
      <c r="S32" s="548"/>
      <c r="T32" s="548"/>
      <c r="U32" s="548"/>
      <c r="V32" s="548"/>
      <c r="W32" s="548"/>
      <c r="X32" s="548"/>
      <c r="Y32" s="548"/>
    </row>
    <row r="33" spans="1:25" ht="9.9499999999999993" customHeight="1" x14ac:dyDescent="0.25">
      <c r="A33" s="549">
        <f t="shared" ref="A33" si="5">1+A30</f>
        <v>9</v>
      </c>
      <c r="B33" s="548"/>
      <c r="C33" s="548"/>
      <c r="D33" s="548"/>
      <c r="E33" s="548"/>
      <c r="F33" s="548"/>
      <c r="G33" s="548"/>
      <c r="H33" s="548"/>
      <c r="I33" s="548"/>
      <c r="J33" s="548"/>
      <c r="K33" s="548"/>
      <c r="L33" s="548"/>
      <c r="M33" s="548"/>
      <c r="N33" s="548"/>
      <c r="O33" s="548"/>
      <c r="P33" s="548"/>
      <c r="Q33" s="548"/>
      <c r="R33" s="548"/>
      <c r="S33" s="548"/>
      <c r="T33" s="548"/>
      <c r="U33" s="548"/>
      <c r="V33" s="548"/>
      <c r="W33" s="548"/>
      <c r="X33" s="548"/>
      <c r="Y33" s="548"/>
    </row>
    <row r="34" spans="1:25" s="27" customFormat="1" ht="20.100000000000001" customHeight="1" x14ac:dyDescent="0.25">
      <c r="A34" s="550"/>
      <c r="B34" s="548"/>
      <c r="C34" s="548"/>
      <c r="D34" s="548"/>
      <c r="E34" s="548"/>
      <c r="F34" s="548"/>
      <c r="G34" s="548"/>
      <c r="H34" s="548"/>
      <c r="I34" s="548"/>
      <c r="J34" s="548"/>
      <c r="K34" s="548"/>
      <c r="L34" s="548"/>
      <c r="M34" s="548"/>
      <c r="N34" s="548"/>
      <c r="O34" s="548"/>
      <c r="P34" s="548"/>
      <c r="Q34" s="548"/>
      <c r="R34" s="548"/>
      <c r="S34" s="548"/>
      <c r="T34" s="548"/>
      <c r="U34" s="548"/>
      <c r="V34" s="548"/>
      <c r="W34" s="548"/>
      <c r="X34" s="548"/>
      <c r="Y34" s="548"/>
    </row>
    <row r="35" spans="1:25" ht="9.75" customHeight="1" x14ac:dyDescent="0.25">
      <c r="A35" s="551"/>
      <c r="B35" s="548"/>
      <c r="C35" s="548"/>
      <c r="D35" s="548"/>
      <c r="E35" s="548"/>
      <c r="F35" s="548"/>
      <c r="G35" s="548"/>
      <c r="H35" s="548"/>
      <c r="I35" s="548"/>
      <c r="J35" s="548"/>
      <c r="K35" s="548"/>
      <c r="L35" s="548"/>
      <c r="M35" s="548"/>
      <c r="N35" s="548"/>
      <c r="O35" s="548"/>
      <c r="P35" s="548"/>
      <c r="Q35" s="548"/>
      <c r="R35" s="548"/>
      <c r="S35" s="548"/>
      <c r="T35" s="548"/>
      <c r="U35" s="548"/>
      <c r="V35" s="548"/>
      <c r="W35" s="548"/>
      <c r="X35" s="548"/>
      <c r="Y35" s="548"/>
    </row>
    <row r="36" spans="1:25" ht="9.9499999999999993" customHeight="1" x14ac:dyDescent="0.25">
      <c r="A36" s="549">
        <f t="shared" ref="A36" si="6">1+A33</f>
        <v>10</v>
      </c>
      <c r="B36" s="548"/>
      <c r="C36" s="548"/>
      <c r="D36" s="548"/>
      <c r="E36" s="548"/>
      <c r="F36" s="548"/>
      <c r="G36" s="548"/>
      <c r="H36" s="548"/>
      <c r="I36" s="548"/>
      <c r="J36" s="548"/>
      <c r="K36" s="548"/>
      <c r="L36" s="548"/>
      <c r="M36" s="548"/>
      <c r="N36" s="548"/>
      <c r="O36" s="548"/>
      <c r="P36" s="548"/>
      <c r="Q36" s="548"/>
      <c r="R36" s="548"/>
      <c r="S36" s="548"/>
      <c r="T36" s="548"/>
      <c r="U36" s="548"/>
      <c r="V36" s="548"/>
      <c r="W36" s="548"/>
      <c r="X36" s="548"/>
      <c r="Y36" s="548"/>
    </row>
    <row r="37" spans="1:25" s="27" customFormat="1" ht="20.100000000000001" customHeight="1" x14ac:dyDescent="0.25">
      <c r="A37" s="550"/>
      <c r="B37" s="548"/>
      <c r="C37" s="548"/>
      <c r="D37" s="548"/>
      <c r="E37" s="548"/>
      <c r="F37" s="548"/>
      <c r="G37" s="548"/>
      <c r="H37" s="548"/>
      <c r="I37" s="548"/>
      <c r="J37" s="548"/>
      <c r="K37" s="548"/>
      <c r="L37" s="548"/>
      <c r="M37" s="548"/>
      <c r="N37" s="548"/>
      <c r="O37" s="548"/>
      <c r="P37" s="548"/>
      <c r="Q37" s="548"/>
      <c r="R37" s="548"/>
      <c r="S37" s="548"/>
      <c r="T37" s="548"/>
      <c r="U37" s="548"/>
      <c r="V37" s="548"/>
      <c r="W37" s="548"/>
      <c r="X37" s="548"/>
      <c r="Y37" s="548"/>
    </row>
    <row r="38" spans="1:25" ht="9.9499999999999993" customHeight="1" x14ac:dyDescent="0.25">
      <c r="A38" s="551"/>
      <c r="B38" s="548"/>
      <c r="C38" s="548"/>
      <c r="D38" s="548"/>
      <c r="E38" s="548"/>
      <c r="F38" s="548"/>
      <c r="G38" s="548"/>
      <c r="H38" s="548"/>
      <c r="I38" s="548"/>
      <c r="J38" s="548"/>
      <c r="K38" s="548"/>
      <c r="L38" s="548"/>
      <c r="M38" s="548"/>
      <c r="N38" s="548"/>
      <c r="O38" s="548"/>
      <c r="P38" s="548"/>
      <c r="Q38" s="548"/>
      <c r="R38" s="548"/>
      <c r="S38" s="548"/>
      <c r="T38" s="548"/>
      <c r="U38" s="548"/>
      <c r="V38" s="548"/>
      <c r="W38" s="548"/>
      <c r="X38" s="548"/>
      <c r="Y38" s="548"/>
    </row>
    <row r="39" spans="1:25" ht="9.9499999999999993" customHeight="1" x14ac:dyDescent="0.25">
      <c r="A39" s="549">
        <f t="shared" ref="A39:A66" si="7">1+A36</f>
        <v>11</v>
      </c>
      <c r="B39" s="548"/>
      <c r="C39" s="548"/>
      <c r="D39" s="548"/>
      <c r="E39" s="548"/>
      <c r="F39" s="548"/>
      <c r="G39" s="548"/>
      <c r="H39" s="548"/>
      <c r="I39" s="548"/>
      <c r="J39" s="548"/>
      <c r="K39" s="548"/>
      <c r="L39" s="548"/>
      <c r="M39" s="548"/>
      <c r="N39" s="548"/>
      <c r="O39" s="548"/>
      <c r="P39" s="548"/>
      <c r="Q39" s="548"/>
      <c r="R39" s="548"/>
      <c r="S39" s="548"/>
      <c r="T39" s="548"/>
      <c r="U39" s="548"/>
      <c r="V39" s="548"/>
      <c r="W39" s="548"/>
      <c r="X39" s="548"/>
      <c r="Y39" s="548"/>
    </row>
    <row r="40" spans="1:25" s="27" customFormat="1" ht="20.100000000000001" customHeight="1" x14ac:dyDescent="0.25">
      <c r="A40" s="550"/>
      <c r="B40" s="548"/>
      <c r="C40" s="548"/>
      <c r="D40" s="548"/>
      <c r="E40" s="548"/>
      <c r="F40" s="548"/>
      <c r="G40" s="548"/>
      <c r="H40" s="548"/>
      <c r="I40" s="548"/>
      <c r="J40" s="548"/>
      <c r="K40" s="548"/>
      <c r="L40" s="548"/>
      <c r="M40" s="548"/>
      <c r="N40" s="548"/>
      <c r="O40" s="548"/>
      <c r="P40" s="548"/>
      <c r="Q40" s="548"/>
      <c r="R40" s="548"/>
      <c r="S40" s="548"/>
      <c r="T40" s="548"/>
      <c r="U40" s="548"/>
      <c r="V40" s="548"/>
      <c r="W40" s="548"/>
      <c r="X40" s="548"/>
      <c r="Y40" s="548"/>
    </row>
    <row r="41" spans="1:25" ht="9.9499999999999993" customHeight="1" x14ac:dyDescent="0.25">
      <c r="A41" s="551"/>
      <c r="B41" s="548"/>
      <c r="C41" s="548"/>
      <c r="D41" s="548"/>
      <c r="E41" s="548"/>
      <c r="F41" s="548"/>
      <c r="G41" s="548"/>
      <c r="H41" s="548"/>
      <c r="I41" s="548"/>
      <c r="J41" s="548"/>
      <c r="K41" s="548"/>
      <c r="L41" s="548"/>
      <c r="M41" s="548"/>
      <c r="N41" s="548"/>
      <c r="O41" s="548"/>
      <c r="P41" s="548"/>
      <c r="Q41" s="548"/>
      <c r="R41" s="548"/>
      <c r="S41" s="548"/>
      <c r="T41" s="548"/>
      <c r="U41" s="548"/>
      <c r="V41" s="548"/>
      <c r="W41" s="548"/>
      <c r="X41" s="548"/>
      <c r="Y41" s="548"/>
    </row>
    <row r="42" spans="1:25" ht="9.9499999999999993" customHeight="1" x14ac:dyDescent="0.25">
      <c r="A42" s="549">
        <f t="shared" si="7"/>
        <v>12</v>
      </c>
      <c r="B42" s="548"/>
      <c r="C42" s="548"/>
      <c r="D42" s="548"/>
      <c r="E42" s="548"/>
      <c r="F42" s="548"/>
      <c r="G42" s="548"/>
      <c r="H42" s="548"/>
      <c r="I42" s="548"/>
      <c r="J42" s="548"/>
      <c r="K42" s="548"/>
      <c r="L42" s="548"/>
      <c r="M42" s="548"/>
      <c r="N42" s="548"/>
      <c r="O42" s="548"/>
      <c r="P42" s="548"/>
      <c r="Q42" s="548"/>
      <c r="R42" s="548"/>
      <c r="S42" s="548"/>
      <c r="T42" s="548"/>
      <c r="U42" s="548"/>
      <c r="V42" s="548"/>
      <c r="W42" s="548"/>
      <c r="X42" s="548"/>
      <c r="Y42" s="548"/>
    </row>
    <row r="43" spans="1:25" s="27" customFormat="1" ht="20.100000000000001" customHeight="1" x14ac:dyDescent="0.25">
      <c r="A43" s="550"/>
      <c r="B43" s="548"/>
      <c r="C43" s="548"/>
      <c r="D43" s="548"/>
      <c r="E43" s="548"/>
      <c r="F43" s="548"/>
      <c r="G43" s="548"/>
      <c r="H43" s="548"/>
      <c r="I43" s="548"/>
      <c r="J43" s="548"/>
      <c r="K43" s="548"/>
      <c r="L43" s="548"/>
      <c r="M43" s="548"/>
      <c r="N43" s="548"/>
      <c r="O43" s="548"/>
      <c r="P43" s="548"/>
      <c r="Q43" s="548"/>
      <c r="R43" s="548"/>
      <c r="S43" s="548"/>
      <c r="T43" s="548"/>
      <c r="U43" s="548"/>
      <c r="V43" s="548"/>
      <c r="W43" s="548"/>
      <c r="X43" s="548"/>
      <c r="Y43" s="548"/>
    </row>
    <row r="44" spans="1:25" ht="9.9499999999999993" customHeight="1" x14ac:dyDescent="0.25">
      <c r="A44" s="551"/>
      <c r="B44" s="548"/>
      <c r="C44" s="548"/>
      <c r="D44" s="548"/>
      <c r="E44" s="548"/>
      <c r="F44" s="548"/>
      <c r="G44" s="548"/>
      <c r="H44" s="548"/>
      <c r="I44" s="548"/>
      <c r="J44" s="548"/>
      <c r="K44" s="548"/>
      <c r="L44" s="548"/>
      <c r="M44" s="548"/>
      <c r="N44" s="548"/>
      <c r="O44" s="548"/>
      <c r="P44" s="548"/>
      <c r="Q44" s="548"/>
      <c r="R44" s="548"/>
      <c r="S44" s="548"/>
      <c r="T44" s="548"/>
      <c r="U44" s="548"/>
      <c r="V44" s="548"/>
      <c r="W44" s="548"/>
      <c r="X44" s="548"/>
      <c r="Y44" s="548"/>
    </row>
    <row r="45" spans="1:25" ht="9.9499999999999993" customHeight="1" x14ac:dyDescent="0.25">
      <c r="A45" s="549">
        <f t="shared" si="7"/>
        <v>13</v>
      </c>
      <c r="B45" s="548"/>
      <c r="C45" s="548"/>
      <c r="D45" s="548"/>
      <c r="E45" s="548"/>
      <c r="F45" s="548"/>
      <c r="G45" s="548"/>
      <c r="H45" s="548"/>
      <c r="I45" s="548"/>
      <c r="J45" s="548"/>
      <c r="K45" s="548"/>
      <c r="L45" s="548"/>
      <c r="M45" s="548"/>
      <c r="N45" s="548"/>
      <c r="O45" s="548"/>
      <c r="P45" s="548"/>
      <c r="Q45" s="548"/>
      <c r="R45" s="548"/>
      <c r="S45" s="548"/>
      <c r="T45" s="548"/>
      <c r="U45" s="548"/>
      <c r="V45" s="548"/>
      <c r="W45" s="548"/>
      <c r="X45" s="548"/>
      <c r="Y45" s="548"/>
    </row>
    <row r="46" spans="1:25" s="27" customFormat="1" ht="20.100000000000001" customHeight="1" x14ac:dyDescent="0.25">
      <c r="A46" s="550"/>
      <c r="B46" s="548"/>
      <c r="C46" s="548"/>
      <c r="D46" s="548"/>
      <c r="E46" s="548"/>
      <c r="F46" s="548"/>
      <c r="G46" s="548"/>
      <c r="H46" s="548"/>
      <c r="I46" s="548"/>
      <c r="J46" s="548"/>
      <c r="K46" s="548"/>
      <c r="L46" s="548"/>
      <c r="M46" s="548"/>
      <c r="N46" s="548"/>
      <c r="O46" s="548"/>
      <c r="P46" s="548"/>
      <c r="Q46" s="548"/>
      <c r="R46" s="548"/>
      <c r="S46" s="548"/>
      <c r="T46" s="548"/>
      <c r="U46" s="548"/>
      <c r="V46" s="548"/>
      <c r="W46" s="548"/>
      <c r="X46" s="548"/>
      <c r="Y46" s="548"/>
    </row>
    <row r="47" spans="1:25" ht="9.9499999999999993" customHeight="1" x14ac:dyDescent="0.25">
      <c r="A47" s="551"/>
      <c r="B47" s="548"/>
      <c r="C47" s="548"/>
      <c r="D47" s="548"/>
      <c r="E47" s="548"/>
      <c r="F47" s="548"/>
      <c r="G47" s="548"/>
      <c r="H47" s="548"/>
      <c r="I47" s="548"/>
      <c r="J47" s="548"/>
      <c r="K47" s="548"/>
      <c r="L47" s="548"/>
      <c r="M47" s="548"/>
      <c r="N47" s="548"/>
      <c r="O47" s="548"/>
      <c r="P47" s="548"/>
      <c r="Q47" s="548"/>
      <c r="R47" s="548"/>
      <c r="S47" s="548"/>
      <c r="T47" s="548"/>
      <c r="U47" s="548"/>
      <c r="V47" s="548"/>
      <c r="W47" s="548"/>
      <c r="X47" s="548"/>
      <c r="Y47" s="548"/>
    </row>
    <row r="48" spans="1:25" ht="9.9499999999999993" customHeight="1" x14ac:dyDescent="0.25">
      <c r="A48" s="549">
        <f t="shared" si="7"/>
        <v>14</v>
      </c>
      <c r="B48" s="548"/>
      <c r="C48" s="548"/>
      <c r="D48" s="548"/>
      <c r="E48" s="548"/>
      <c r="F48" s="548"/>
      <c r="G48" s="548"/>
      <c r="H48" s="548"/>
      <c r="I48" s="548"/>
      <c r="J48" s="548"/>
      <c r="K48" s="548"/>
      <c r="L48" s="548"/>
      <c r="M48" s="548"/>
      <c r="N48" s="548"/>
      <c r="O48" s="548"/>
      <c r="P48" s="548"/>
      <c r="Q48" s="548"/>
      <c r="R48" s="548"/>
      <c r="S48" s="548"/>
      <c r="T48" s="548"/>
      <c r="U48" s="548"/>
      <c r="V48" s="548"/>
      <c r="W48" s="548"/>
      <c r="X48" s="548"/>
      <c r="Y48" s="548"/>
    </row>
    <row r="49" spans="1:25" s="27" customFormat="1" ht="20.100000000000001" customHeight="1" x14ac:dyDescent="0.25">
      <c r="A49" s="550"/>
      <c r="B49" s="548"/>
      <c r="C49" s="548"/>
      <c r="D49" s="548"/>
      <c r="E49" s="548"/>
      <c r="F49" s="548"/>
      <c r="G49" s="548"/>
      <c r="H49" s="548"/>
      <c r="I49" s="548"/>
      <c r="J49" s="548"/>
      <c r="K49" s="548"/>
      <c r="L49" s="548"/>
      <c r="M49" s="548"/>
      <c r="N49" s="548"/>
      <c r="O49" s="548"/>
      <c r="P49" s="548"/>
      <c r="Q49" s="548"/>
      <c r="R49" s="548"/>
      <c r="S49" s="548"/>
      <c r="T49" s="548"/>
      <c r="U49" s="548"/>
      <c r="V49" s="548"/>
      <c r="W49" s="548"/>
      <c r="X49" s="548"/>
      <c r="Y49" s="548"/>
    </row>
    <row r="50" spans="1:25" ht="9.9499999999999993" customHeight="1" x14ac:dyDescent="0.25">
      <c r="A50" s="551"/>
      <c r="B50" s="548"/>
      <c r="C50" s="548"/>
      <c r="D50" s="548"/>
      <c r="E50" s="548"/>
      <c r="F50" s="548"/>
      <c r="G50" s="548"/>
      <c r="H50" s="548"/>
      <c r="I50" s="548"/>
      <c r="J50" s="548"/>
      <c r="K50" s="548"/>
      <c r="L50" s="548"/>
      <c r="M50" s="548"/>
      <c r="N50" s="548"/>
      <c r="O50" s="548"/>
      <c r="P50" s="548"/>
      <c r="Q50" s="548"/>
      <c r="R50" s="548"/>
      <c r="S50" s="548"/>
      <c r="T50" s="548"/>
      <c r="U50" s="548"/>
      <c r="V50" s="548"/>
      <c r="W50" s="548"/>
      <c r="X50" s="548"/>
      <c r="Y50" s="548"/>
    </row>
    <row r="51" spans="1:25" ht="9.9499999999999993" customHeight="1" x14ac:dyDescent="0.25">
      <c r="A51" s="549">
        <f t="shared" si="7"/>
        <v>15</v>
      </c>
      <c r="B51" s="548"/>
      <c r="C51" s="548"/>
      <c r="D51" s="548"/>
      <c r="E51" s="548"/>
      <c r="F51" s="548"/>
      <c r="G51" s="548"/>
      <c r="H51" s="548"/>
      <c r="I51" s="548"/>
      <c r="J51" s="548"/>
      <c r="K51" s="548"/>
      <c r="L51" s="548"/>
      <c r="M51" s="548"/>
      <c r="N51" s="548"/>
      <c r="O51" s="548"/>
      <c r="P51" s="548"/>
      <c r="Q51" s="548"/>
      <c r="R51" s="548"/>
      <c r="S51" s="548"/>
      <c r="T51" s="548"/>
      <c r="U51" s="548"/>
      <c r="V51" s="548"/>
      <c r="W51" s="548"/>
      <c r="X51" s="548"/>
      <c r="Y51" s="548"/>
    </row>
    <row r="52" spans="1:25" s="27" customFormat="1" ht="20.100000000000001" customHeight="1" x14ac:dyDescent="0.25">
      <c r="A52" s="550"/>
      <c r="B52" s="548"/>
      <c r="C52" s="548"/>
      <c r="D52" s="548"/>
      <c r="E52" s="548"/>
      <c r="F52" s="548"/>
      <c r="G52" s="548"/>
      <c r="H52" s="548"/>
      <c r="I52" s="548"/>
      <c r="J52" s="548"/>
      <c r="K52" s="548"/>
      <c r="L52" s="548"/>
      <c r="M52" s="548"/>
      <c r="N52" s="548"/>
      <c r="O52" s="548"/>
      <c r="P52" s="548"/>
      <c r="Q52" s="548"/>
      <c r="R52" s="548"/>
      <c r="S52" s="548"/>
      <c r="T52" s="548"/>
      <c r="U52" s="548"/>
      <c r="V52" s="548"/>
      <c r="W52" s="548"/>
      <c r="X52" s="548"/>
      <c r="Y52" s="548"/>
    </row>
    <row r="53" spans="1:25" ht="9.9499999999999993" customHeight="1" x14ac:dyDescent="0.25">
      <c r="A53" s="551"/>
      <c r="B53" s="548"/>
      <c r="C53" s="548"/>
      <c r="D53" s="548"/>
      <c r="E53" s="548"/>
      <c r="F53" s="548"/>
      <c r="G53" s="548"/>
      <c r="H53" s="548"/>
      <c r="I53" s="548"/>
      <c r="J53" s="548"/>
      <c r="K53" s="548"/>
      <c r="L53" s="548"/>
      <c r="M53" s="548"/>
      <c r="N53" s="548"/>
      <c r="O53" s="548"/>
      <c r="P53" s="548"/>
      <c r="Q53" s="548"/>
      <c r="R53" s="548"/>
      <c r="S53" s="548"/>
      <c r="T53" s="548"/>
      <c r="U53" s="548"/>
      <c r="V53" s="548"/>
      <c r="W53" s="548"/>
      <c r="X53" s="548"/>
      <c r="Y53" s="548"/>
    </row>
    <row r="54" spans="1:25" ht="9.9499999999999993" customHeight="1" x14ac:dyDescent="0.25">
      <c r="A54" s="549">
        <f t="shared" si="7"/>
        <v>16</v>
      </c>
      <c r="B54" s="548"/>
      <c r="C54" s="548"/>
      <c r="D54" s="548"/>
      <c r="E54" s="548"/>
      <c r="F54" s="548"/>
      <c r="G54" s="548"/>
      <c r="H54" s="548"/>
      <c r="I54" s="548"/>
      <c r="J54" s="548"/>
      <c r="K54" s="548"/>
      <c r="L54" s="548"/>
      <c r="M54" s="548"/>
      <c r="N54" s="548"/>
      <c r="O54" s="548"/>
      <c r="P54" s="548"/>
      <c r="Q54" s="548"/>
      <c r="R54" s="548"/>
      <c r="S54" s="548"/>
      <c r="T54" s="548"/>
      <c r="U54" s="548"/>
      <c r="V54" s="548"/>
      <c r="W54" s="548"/>
      <c r="X54" s="548"/>
      <c r="Y54" s="548"/>
    </row>
    <row r="55" spans="1:25" s="27" customFormat="1" ht="20.100000000000001" customHeight="1" x14ac:dyDescent="0.25">
      <c r="A55" s="550"/>
      <c r="B55" s="548"/>
      <c r="C55" s="548"/>
      <c r="D55" s="548"/>
      <c r="E55" s="548"/>
      <c r="F55" s="548"/>
      <c r="G55" s="548"/>
      <c r="H55" s="548"/>
      <c r="I55" s="548"/>
      <c r="J55" s="548"/>
      <c r="K55" s="548"/>
      <c r="L55" s="548"/>
      <c r="M55" s="548"/>
      <c r="N55" s="548"/>
      <c r="O55" s="548"/>
      <c r="P55" s="548"/>
      <c r="Q55" s="548"/>
      <c r="R55" s="548"/>
      <c r="S55" s="548"/>
      <c r="T55" s="548"/>
      <c r="U55" s="548"/>
      <c r="V55" s="548"/>
      <c r="W55" s="548"/>
      <c r="X55" s="548"/>
      <c r="Y55" s="548"/>
    </row>
    <row r="56" spans="1:25" ht="9.9499999999999993" customHeight="1" x14ac:dyDescent="0.25">
      <c r="A56" s="551"/>
      <c r="B56" s="548"/>
      <c r="C56" s="548"/>
      <c r="D56" s="548"/>
      <c r="E56" s="548"/>
      <c r="F56" s="548"/>
      <c r="G56" s="548"/>
      <c r="H56" s="548"/>
      <c r="I56" s="548"/>
      <c r="J56" s="548"/>
      <c r="K56" s="548"/>
      <c r="L56" s="548"/>
      <c r="M56" s="548"/>
      <c r="N56" s="548"/>
      <c r="O56" s="548"/>
      <c r="P56" s="548"/>
      <c r="Q56" s="548"/>
      <c r="R56" s="548"/>
      <c r="S56" s="548"/>
      <c r="T56" s="548"/>
      <c r="U56" s="548"/>
      <c r="V56" s="548"/>
      <c r="W56" s="548"/>
      <c r="X56" s="548"/>
      <c r="Y56" s="548"/>
    </row>
    <row r="57" spans="1:25" ht="9.9499999999999993" customHeight="1" x14ac:dyDescent="0.25">
      <c r="A57" s="549">
        <f t="shared" si="7"/>
        <v>17</v>
      </c>
      <c r="B57" s="548"/>
      <c r="C57" s="548"/>
      <c r="D57" s="548"/>
      <c r="E57" s="548"/>
      <c r="F57" s="548"/>
      <c r="G57" s="548"/>
      <c r="H57" s="548"/>
      <c r="I57" s="548"/>
      <c r="J57" s="548"/>
      <c r="K57" s="548"/>
      <c r="L57" s="548"/>
      <c r="M57" s="548"/>
      <c r="N57" s="548"/>
      <c r="O57" s="548"/>
      <c r="P57" s="548"/>
      <c r="Q57" s="548"/>
      <c r="R57" s="548"/>
      <c r="S57" s="548"/>
      <c r="T57" s="548"/>
      <c r="U57" s="548"/>
      <c r="V57" s="548"/>
      <c r="W57" s="548"/>
      <c r="X57" s="548"/>
      <c r="Y57" s="548"/>
    </row>
    <row r="58" spans="1:25" s="27" customFormat="1" ht="20.100000000000001" customHeight="1" x14ac:dyDescent="0.25">
      <c r="A58" s="550"/>
      <c r="B58" s="548"/>
      <c r="C58" s="548"/>
      <c r="D58" s="548"/>
      <c r="E58" s="548"/>
      <c r="F58" s="548"/>
      <c r="G58" s="548"/>
      <c r="H58" s="548"/>
      <c r="I58" s="548"/>
      <c r="J58" s="548"/>
      <c r="K58" s="548"/>
      <c r="L58" s="548"/>
      <c r="M58" s="548"/>
      <c r="N58" s="548"/>
      <c r="O58" s="548"/>
      <c r="P58" s="548"/>
      <c r="Q58" s="548"/>
      <c r="R58" s="548"/>
      <c r="S58" s="548"/>
      <c r="T58" s="548"/>
      <c r="U58" s="548"/>
      <c r="V58" s="548"/>
      <c r="W58" s="548"/>
      <c r="X58" s="548"/>
      <c r="Y58" s="548"/>
    </row>
    <row r="59" spans="1:25" ht="9.9499999999999993" customHeight="1" x14ac:dyDescent="0.25">
      <c r="A59" s="551"/>
      <c r="B59" s="548"/>
      <c r="C59" s="548"/>
      <c r="D59" s="548"/>
      <c r="E59" s="548"/>
      <c r="F59" s="548"/>
      <c r="G59" s="548"/>
      <c r="H59" s="548"/>
      <c r="I59" s="548"/>
      <c r="J59" s="548"/>
      <c r="K59" s="548"/>
      <c r="L59" s="548"/>
      <c r="M59" s="548"/>
      <c r="N59" s="548"/>
      <c r="O59" s="548"/>
      <c r="P59" s="548"/>
      <c r="Q59" s="548"/>
      <c r="R59" s="548"/>
      <c r="S59" s="548"/>
      <c r="T59" s="548"/>
      <c r="U59" s="548"/>
      <c r="V59" s="548"/>
      <c r="W59" s="548"/>
      <c r="X59" s="548"/>
      <c r="Y59" s="548"/>
    </row>
    <row r="60" spans="1:25" ht="9.9499999999999993" customHeight="1" x14ac:dyDescent="0.25">
      <c r="A60" s="549">
        <f t="shared" si="7"/>
        <v>18</v>
      </c>
      <c r="B60" s="548"/>
      <c r="C60" s="548"/>
      <c r="D60" s="548"/>
      <c r="E60" s="548"/>
      <c r="F60" s="548"/>
      <c r="G60" s="548"/>
      <c r="H60" s="548"/>
      <c r="I60" s="548"/>
      <c r="J60" s="548"/>
      <c r="K60" s="548"/>
      <c r="L60" s="548"/>
      <c r="M60" s="548"/>
      <c r="N60" s="548"/>
      <c r="O60" s="548"/>
      <c r="P60" s="548"/>
      <c r="Q60" s="548"/>
      <c r="R60" s="548"/>
      <c r="S60" s="548"/>
      <c r="T60" s="548"/>
      <c r="U60" s="548"/>
      <c r="V60" s="548"/>
      <c r="W60" s="548"/>
      <c r="X60" s="548"/>
      <c r="Y60" s="548"/>
    </row>
    <row r="61" spans="1:25" s="27" customFormat="1" ht="20.100000000000001" customHeight="1" x14ac:dyDescent="0.25">
      <c r="A61" s="550"/>
      <c r="B61" s="548"/>
      <c r="C61" s="548"/>
      <c r="D61" s="548"/>
      <c r="E61" s="548"/>
      <c r="F61" s="548"/>
      <c r="G61" s="548"/>
      <c r="H61" s="548"/>
      <c r="I61" s="548"/>
      <c r="J61" s="548"/>
      <c r="K61" s="548"/>
      <c r="L61" s="548"/>
      <c r="M61" s="548"/>
      <c r="N61" s="548"/>
      <c r="O61" s="548"/>
      <c r="P61" s="548"/>
      <c r="Q61" s="548"/>
      <c r="R61" s="548"/>
      <c r="S61" s="548"/>
      <c r="T61" s="548"/>
      <c r="U61" s="548"/>
      <c r="V61" s="548"/>
      <c r="W61" s="548"/>
      <c r="X61" s="548"/>
      <c r="Y61" s="548"/>
    </row>
    <row r="62" spans="1:25" ht="9.9499999999999993" customHeight="1" x14ac:dyDescent="0.25">
      <c r="A62" s="551"/>
      <c r="B62" s="548"/>
      <c r="C62" s="548"/>
      <c r="D62" s="548"/>
      <c r="E62" s="548"/>
      <c r="F62" s="548"/>
      <c r="G62" s="548"/>
      <c r="H62" s="548"/>
      <c r="I62" s="548"/>
      <c r="J62" s="548"/>
      <c r="K62" s="548"/>
      <c r="L62" s="548"/>
      <c r="M62" s="548"/>
      <c r="N62" s="548"/>
      <c r="O62" s="548"/>
      <c r="P62" s="548"/>
      <c r="Q62" s="548"/>
      <c r="R62" s="548"/>
      <c r="S62" s="548"/>
      <c r="T62" s="548"/>
      <c r="U62" s="548"/>
      <c r="V62" s="548"/>
      <c r="W62" s="548"/>
      <c r="X62" s="548"/>
      <c r="Y62" s="548"/>
    </row>
    <row r="63" spans="1:25" ht="9.9499999999999993" customHeight="1" x14ac:dyDescent="0.25">
      <c r="A63" s="549">
        <f t="shared" si="7"/>
        <v>19</v>
      </c>
      <c r="B63" s="548"/>
      <c r="C63" s="548"/>
      <c r="D63" s="548"/>
      <c r="E63" s="548"/>
      <c r="F63" s="548"/>
      <c r="G63" s="548"/>
      <c r="H63" s="548"/>
      <c r="I63" s="548"/>
      <c r="J63" s="548"/>
      <c r="K63" s="548"/>
      <c r="L63" s="548"/>
      <c r="M63" s="548"/>
      <c r="N63" s="548"/>
      <c r="O63" s="548"/>
      <c r="P63" s="548"/>
      <c r="Q63" s="548"/>
      <c r="R63" s="548"/>
      <c r="S63" s="548"/>
      <c r="T63" s="548"/>
      <c r="U63" s="548"/>
      <c r="V63" s="548"/>
      <c r="W63" s="548"/>
      <c r="X63" s="548"/>
      <c r="Y63" s="548"/>
    </row>
    <row r="64" spans="1:25" s="27" customFormat="1" ht="20.100000000000001" customHeight="1" x14ac:dyDescent="0.25">
      <c r="A64" s="550"/>
      <c r="B64" s="548"/>
      <c r="C64" s="548"/>
      <c r="D64" s="548"/>
      <c r="E64" s="548"/>
      <c r="F64" s="548"/>
      <c r="G64" s="548"/>
      <c r="H64" s="548"/>
      <c r="I64" s="548"/>
      <c r="J64" s="548"/>
      <c r="K64" s="548"/>
      <c r="L64" s="548"/>
      <c r="M64" s="548"/>
      <c r="N64" s="548"/>
      <c r="O64" s="548"/>
      <c r="P64" s="548"/>
      <c r="Q64" s="548"/>
      <c r="R64" s="548"/>
      <c r="S64" s="548"/>
      <c r="T64" s="548"/>
      <c r="U64" s="548"/>
      <c r="V64" s="548"/>
      <c r="W64" s="548"/>
      <c r="X64" s="548"/>
      <c r="Y64" s="548"/>
    </row>
    <row r="65" spans="1:25" ht="9.9499999999999993" customHeight="1" x14ac:dyDescent="0.25">
      <c r="A65" s="551"/>
      <c r="B65" s="548"/>
      <c r="C65" s="548"/>
      <c r="D65" s="548"/>
      <c r="E65" s="548"/>
      <c r="F65" s="548"/>
      <c r="G65" s="548"/>
      <c r="H65" s="548"/>
      <c r="I65" s="548"/>
      <c r="J65" s="548"/>
      <c r="K65" s="548"/>
      <c r="L65" s="548"/>
      <c r="M65" s="548"/>
      <c r="N65" s="548"/>
      <c r="O65" s="548"/>
      <c r="P65" s="548"/>
      <c r="Q65" s="548"/>
      <c r="R65" s="548"/>
      <c r="S65" s="548"/>
      <c r="T65" s="548"/>
      <c r="U65" s="548"/>
      <c r="V65" s="548"/>
      <c r="W65" s="548"/>
      <c r="X65" s="548"/>
      <c r="Y65" s="548"/>
    </row>
    <row r="66" spans="1:25" ht="9.9499999999999993" customHeight="1" x14ac:dyDescent="0.25">
      <c r="A66" s="549">
        <f t="shared" si="7"/>
        <v>20</v>
      </c>
      <c r="B66" s="548"/>
      <c r="C66" s="548"/>
      <c r="D66" s="548"/>
      <c r="E66" s="548"/>
      <c r="F66" s="548"/>
      <c r="G66" s="548"/>
      <c r="H66" s="548"/>
      <c r="I66" s="548"/>
      <c r="J66" s="548"/>
      <c r="K66" s="548"/>
      <c r="L66" s="548"/>
      <c r="M66" s="548"/>
      <c r="N66" s="548"/>
      <c r="O66" s="548"/>
      <c r="P66" s="548"/>
      <c r="Q66" s="548"/>
      <c r="R66" s="548"/>
      <c r="S66" s="548"/>
      <c r="T66" s="548"/>
      <c r="U66" s="548"/>
      <c r="V66" s="548"/>
      <c r="W66" s="548"/>
      <c r="X66" s="548"/>
      <c r="Y66" s="548"/>
    </row>
    <row r="67" spans="1:25" s="27" customFormat="1" ht="20.100000000000001" customHeight="1" x14ac:dyDescent="0.25">
      <c r="A67" s="550"/>
      <c r="B67" s="548"/>
      <c r="C67" s="548"/>
      <c r="D67" s="548"/>
      <c r="E67" s="548"/>
      <c r="F67" s="548"/>
      <c r="G67" s="548"/>
      <c r="H67" s="548"/>
      <c r="I67" s="548"/>
      <c r="J67" s="548"/>
      <c r="K67" s="548"/>
      <c r="L67" s="548"/>
      <c r="M67" s="548"/>
      <c r="N67" s="548"/>
      <c r="O67" s="548"/>
      <c r="P67" s="548"/>
      <c r="Q67" s="548"/>
      <c r="R67" s="548"/>
      <c r="S67" s="548"/>
      <c r="T67" s="548"/>
      <c r="U67" s="548"/>
      <c r="V67" s="548"/>
      <c r="W67" s="548"/>
      <c r="X67" s="548"/>
      <c r="Y67" s="548"/>
    </row>
    <row r="68" spans="1:25" ht="9.9499999999999993" customHeight="1" x14ac:dyDescent="0.25">
      <c r="A68" s="551"/>
      <c r="B68" s="548"/>
      <c r="C68" s="548"/>
      <c r="D68" s="548"/>
      <c r="E68" s="548"/>
      <c r="F68" s="548"/>
      <c r="G68" s="548"/>
      <c r="H68" s="548"/>
      <c r="I68" s="548"/>
      <c r="J68" s="548"/>
      <c r="K68" s="548"/>
      <c r="L68" s="548"/>
      <c r="M68" s="548"/>
      <c r="N68" s="548"/>
      <c r="O68" s="548"/>
      <c r="P68" s="548"/>
      <c r="Q68" s="548"/>
      <c r="R68" s="548"/>
      <c r="S68" s="548"/>
      <c r="T68" s="548"/>
      <c r="U68" s="548"/>
      <c r="V68" s="548"/>
      <c r="W68" s="548"/>
      <c r="X68" s="548"/>
      <c r="Y68" s="548"/>
    </row>
    <row r="69" spans="1:25" ht="9.9499999999999993" customHeight="1" x14ac:dyDescent="0.25">
      <c r="A69" s="549">
        <f t="shared" ref="A69:A96" si="8">1+A66</f>
        <v>21</v>
      </c>
      <c r="B69" s="548"/>
      <c r="C69" s="548"/>
      <c r="D69" s="548"/>
      <c r="E69" s="548"/>
      <c r="F69" s="548"/>
      <c r="G69" s="548"/>
      <c r="H69" s="548"/>
      <c r="I69" s="548"/>
      <c r="J69" s="548"/>
      <c r="K69" s="548"/>
      <c r="L69" s="548"/>
      <c r="M69" s="548"/>
      <c r="N69" s="548"/>
      <c r="O69" s="548"/>
      <c r="P69" s="548"/>
      <c r="Q69" s="548"/>
      <c r="R69" s="548"/>
      <c r="S69" s="548"/>
      <c r="T69" s="548"/>
      <c r="U69" s="548"/>
      <c r="V69" s="548"/>
      <c r="W69" s="548"/>
      <c r="X69" s="548"/>
      <c r="Y69" s="548"/>
    </row>
    <row r="70" spans="1:25" s="27" customFormat="1" ht="20.100000000000001" customHeight="1" x14ac:dyDescent="0.25">
      <c r="A70" s="550"/>
      <c r="B70" s="548"/>
      <c r="C70" s="548"/>
      <c r="D70" s="548"/>
      <c r="E70" s="548"/>
      <c r="F70" s="548"/>
      <c r="G70" s="548"/>
      <c r="H70" s="548"/>
      <c r="I70" s="548"/>
      <c r="J70" s="548"/>
      <c r="K70" s="548"/>
      <c r="L70" s="548"/>
      <c r="M70" s="548"/>
      <c r="N70" s="548"/>
      <c r="O70" s="548"/>
      <c r="P70" s="548"/>
      <c r="Q70" s="548"/>
      <c r="R70" s="548"/>
      <c r="S70" s="548"/>
      <c r="T70" s="548"/>
      <c r="U70" s="548"/>
      <c r="V70" s="548"/>
      <c r="W70" s="548"/>
      <c r="X70" s="548"/>
      <c r="Y70" s="548"/>
    </row>
    <row r="71" spans="1:25" ht="9.9499999999999993" customHeight="1" x14ac:dyDescent="0.25">
      <c r="A71" s="551"/>
      <c r="B71" s="548"/>
      <c r="C71" s="548"/>
      <c r="D71" s="548"/>
      <c r="E71" s="548"/>
      <c r="F71" s="548"/>
      <c r="G71" s="548"/>
      <c r="H71" s="548"/>
      <c r="I71" s="548"/>
      <c r="J71" s="548"/>
      <c r="K71" s="548"/>
      <c r="L71" s="548"/>
      <c r="M71" s="548"/>
      <c r="N71" s="548"/>
      <c r="O71" s="548"/>
      <c r="P71" s="548"/>
      <c r="Q71" s="548"/>
      <c r="R71" s="548"/>
      <c r="S71" s="548"/>
      <c r="T71" s="548"/>
      <c r="U71" s="548"/>
      <c r="V71" s="548"/>
      <c r="W71" s="548"/>
      <c r="X71" s="548"/>
      <c r="Y71" s="548"/>
    </row>
    <row r="72" spans="1:25" ht="9.9499999999999993" customHeight="1" x14ac:dyDescent="0.25">
      <c r="A72" s="549">
        <f t="shared" si="8"/>
        <v>22</v>
      </c>
      <c r="B72" s="548"/>
      <c r="C72" s="548"/>
      <c r="D72" s="548"/>
      <c r="E72" s="548"/>
      <c r="F72" s="548"/>
      <c r="G72" s="548"/>
      <c r="H72" s="548"/>
      <c r="I72" s="548"/>
      <c r="J72" s="548"/>
      <c r="K72" s="548"/>
      <c r="L72" s="548"/>
      <c r="M72" s="548"/>
      <c r="N72" s="548"/>
      <c r="O72" s="548"/>
      <c r="P72" s="548"/>
      <c r="Q72" s="548"/>
      <c r="R72" s="548"/>
      <c r="S72" s="548"/>
      <c r="T72" s="548"/>
      <c r="U72" s="548"/>
      <c r="V72" s="548"/>
      <c r="W72" s="548"/>
      <c r="X72" s="548"/>
      <c r="Y72" s="548"/>
    </row>
    <row r="73" spans="1:25" s="27" customFormat="1" ht="20.100000000000001" customHeight="1" x14ac:dyDescent="0.25">
      <c r="A73" s="550"/>
      <c r="B73" s="548"/>
      <c r="C73" s="548"/>
      <c r="D73" s="548"/>
      <c r="E73" s="548"/>
      <c r="F73" s="548"/>
      <c r="G73" s="548"/>
      <c r="H73" s="548"/>
      <c r="I73" s="548"/>
      <c r="J73" s="548"/>
      <c r="K73" s="548"/>
      <c r="L73" s="548"/>
      <c r="M73" s="548"/>
      <c r="N73" s="548"/>
      <c r="O73" s="548"/>
      <c r="P73" s="548"/>
      <c r="Q73" s="548"/>
      <c r="R73" s="548"/>
      <c r="S73" s="548"/>
      <c r="T73" s="548"/>
      <c r="U73" s="548"/>
      <c r="V73" s="548"/>
      <c r="W73" s="548"/>
      <c r="X73" s="548"/>
      <c r="Y73" s="548"/>
    </row>
    <row r="74" spans="1:25" ht="9.9499999999999993" customHeight="1" x14ac:dyDescent="0.25">
      <c r="A74" s="551"/>
      <c r="B74" s="548"/>
      <c r="C74" s="548"/>
      <c r="D74" s="548"/>
      <c r="E74" s="548"/>
      <c r="F74" s="548"/>
      <c r="G74" s="548"/>
      <c r="H74" s="548"/>
      <c r="I74" s="548"/>
      <c r="J74" s="548"/>
      <c r="K74" s="548"/>
      <c r="L74" s="548"/>
      <c r="M74" s="548"/>
      <c r="N74" s="548"/>
      <c r="O74" s="548"/>
      <c r="P74" s="548"/>
      <c r="Q74" s="548"/>
      <c r="R74" s="548"/>
      <c r="S74" s="548"/>
      <c r="T74" s="548"/>
      <c r="U74" s="548"/>
      <c r="V74" s="548"/>
      <c r="W74" s="548"/>
      <c r="X74" s="548"/>
      <c r="Y74" s="548"/>
    </row>
    <row r="75" spans="1:25" ht="9.9499999999999993" customHeight="1" x14ac:dyDescent="0.25">
      <c r="A75" s="549">
        <f t="shared" si="8"/>
        <v>23</v>
      </c>
      <c r="B75" s="548"/>
      <c r="C75" s="548"/>
      <c r="D75" s="548"/>
      <c r="E75" s="548"/>
      <c r="F75" s="548"/>
      <c r="G75" s="548"/>
      <c r="H75" s="548"/>
      <c r="I75" s="548"/>
      <c r="J75" s="548"/>
      <c r="K75" s="548"/>
      <c r="L75" s="548"/>
      <c r="M75" s="548"/>
      <c r="N75" s="548"/>
      <c r="O75" s="548"/>
      <c r="P75" s="548"/>
      <c r="Q75" s="548"/>
      <c r="R75" s="548"/>
      <c r="S75" s="548"/>
      <c r="T75" s="548"/>
      <c r="U75" s="548"/>
      <c r="V75" s="548"/>
      <c r="W75" s="548"/>
      <c r="X75" s="548"/>
      <c r="Y75" s="548"/>
    </row>
    <row r="76" spans="1:25" s="27" customFormat="1" ht="20.100000000000001" customHeight="1" x14ac:dyDescent="0.25">
      <c r="A76" s="550"/>
      <c r="B76" s="548"/>
      <c r="C76" s="548"/>
      <c r="D76" s="548"/>
      <c r="E76" s="548"/>
      <c r="F76" s="548"/>
      <c r="G76" s="548"/>
      <c r="H76" s="548"/>
      <c r="I76" s="548"/>
      <c r="J76" s="548"/>
      <c r="K76" s="548"/>
      <c r="L76" s="548"/>
      <c r="M76" s="548"/>
      <c r="N76" s="548"/>
      <c r="O76" s="548"/>
      <c r="P76" s="548"/>
      <c r="Q76" s="548"/>
      <c r="R76" s="548"/>
      <c r="S76" s="548"/>
      <c r="T76" s="548"/>
      <c r="U76" s="548"/>
      <c r="V76" s="548"/>
      <c r="W76" s="548"/>
      <c r="X76" s="548"/>
      <c r="Y76" s="548"/>
    </row>
    <row r="77" spans="1:25" ht="9.9499999999999993" customHeight="1" x14ac:dyDescent="0.25">
      <c r="A77" s="551"/>
      <c r="B77" s="548"/>
      <c r="C77" s="548"/>
      <c r="D77" s="548"/>
      <c r="E77" s="548"/>
      <c r="F77" s="548"/>
      <c r="G77" s="548"/>
      <c r="H77" s="548"/>
      <c r="I77" s="548"/>
      <c r="J77" s="548"/>
      <c r="K77" s="548"/>
      <c r="L77" s="548"/>
      <c r="M77" s="548"/>
      <c r="N77" s="548"/>
      <c r="O77" s="548"/>
      <c r="P77" s="548"/>
      <c r="Q77" s="548"/>
      <c r="R77" s="548"/>
      <c r="S77" s="548"/>
      <c r="T77" s="548"/>
      <c r="U77" s="548"/>
      <c r="V77" s="548"/>
      <c r="W77" s="548"/>
      <c r="X77" s="548"/>
      <c r="Y77" s="548"/>
    </row>
    <row r="78" spans="1:25" ht="9.9499999999999993" customHeight="1" x14ac:dyDescent="0.25">
      <c r="A78" s="549">
        <f t="shared" si="8"/>
        <v>24</v>
      </c>
      <c r="B78" s="548"/>
      <c r="C78" s="548"/>
      <c r="D78" s="548"/>
      <c r="E78" s="548"/>
      <c r="F78" s="548"/>
      <c r="G78" s="548"/>
      <c r="H78" s="548"/>
      <c r="I78" s="548"/>
      <c r="J78" s="548"/>
      <c r="K78" s="548"/>
      <c r="L78" s="548"/>
      <c r="M78" s="548"/>
      <c r="N78" s="548"/>
      <c r="O78" s="548"/>
      <c r="P78" s="548"/>
      <c r="Q78" s="548"/>
      <c r="R78" s="548"/>
      <c r="S78" s="548"/>
      <c r="T78" s="548"/>
      <c r="U78" s="548"/>
      <c r="V78" s="548"/>
      <c r="W78" s="548"/>
      <c r="X78" s="548"/>
      <c r="Y78" s="548"/>
    </row>
    <row r="79" spans="1:25" s="27" customFormat="1" ht="20.100000000000001" customHeight="1" x14ac:dyDescent="0.25">
      <c r="A79" s="550"/>
      <c r="B79" s="548"/>
      <c r="C79" s="548"/>
      <c r="D79" s="548"/>
      <c r="E79" s="548"/>
      <c r="F79" s="548"/>
      <c r="G79" s="548"/>
      <c r="H79" s="548"/>
      <c r="I79" s="548"/>
      <c r="J79" s="548"/>
      <c r="K79" s="548"/>
      <c r="L79" s="548"/>
      <c r="M79" s="548"/>
      <c r="N79" s="548"/>
      <c r="O79" s="548"/>
      <c r="P79" s="548"/>
      <c r="Q79" s="548"/>
      <c r="R79" s="548"/>
      <c r="S79" s="548"/>
      <c r="T79" s="548"/>
      <c r="U79" s="548"/>
      <c r="V79" s="548"/>
      <c r="W79" s="548"/>
      <c r="X79" s="548"/>
      <c r="Y79" s="548"/>
    </row>
    <row r="80" spans="1:25" ht="9.9499999999999993" customHeight="1" x14ac:dyDescent="0.25">
      <c r="A80" s="551"/>
      <c r="B80" s="548"/>
      <c r="C80" s="548"/>
      <c r="D80" s="548"/>
      <c r="E80" s="548"/>
      <c r="F80" s="548"/>
      <c r="G80" s="548"/>
      <c r="H80" s="548"/>
      <c r="I80" s="548"/>
      <c r="J80" s="548"/>
      <c r="K80" s="548"/>
      <c r="L80" s="548"/>
      <c r="M80" s="548"/>
      <c r="N80" s="548"/>
      <c r="O80" s="548"/>
      <c r="P80" s="548"/>
      <c r="Q80" s="548"/>
      <c r="R80" s="548"/>
      <c r="S80" s="548"/>
      <c r="T80" s="548"/>
      <c r="U80" s="548"/>
      <c r="V80" s="548"/>
      <c r="W80" s="548"/>
      <c r="X80" s="548"/>
      <c r="Y80" s="548"/>
    </row>
    <row r="81" spans="1:25" ht="9.9499999999999993" customHeight="1" x14ac:dyDescent="0.25">
      <c r="A81" s="549">
        <f t="shared" si="8"/>
        <v>25</v>
      </c>
      <c r="B81" s="548"/>
      <c r="C81" s="548"/>
      <c r="D81" s="548"/>
      <c r="E81" s="548"/>
      <c r="F81" s="548"/>
      <c r="G81" s="548"/>
      <c r="H81" s="548"/>
      <c r="I81" s="548"/>
      <c r="J81" s="548"/>
      <c r="K81" s="548"/>
      <c r="L81" s="548"/>
      <c r="M81" s="548"/>
      <c r="N81" s="548"/>
      <c r="O81" s="548"/>
      <c r="P81" s="548"/>
      <c r="Q81" s="548"/>
      <c r="R81" s="548"/>
      <c r="S81" s="548"/>
      <c r="T81" s="548"/>
      <c r="U81" s="548"/>
      <c r="V81" s="548"/>
      <c r="W81" s="548"/>
      <c r="X81" s="548"/>
      <c r="Y81" s="548"/>
    </row>
    <row r="82" spans="1:25" s="27" customFormat="1" ht="20.100000000000001" customHeight="1" x14ac:dyDescent="0.25">
      <c r="A82" s="550"/>
      <c r="B82" s="548"/>
      <c r="C82" s="548"/>
      <c r="D82" s="548"/>
      <c r="E82" s="548"/>
      <c r="F82" s="548"/>
      <c r="G82" s="548"/>
      <c r="H82" s="548"/>
      <c r="I82" s="548"/>
      <c r="J82" s="548"/>
      <c r="K82" s="548"/>
      <c r="L82" s="548"/>
      <c r="M82" s="548"/>
      <c r="N82" s="548"/>
      <c r="O82" s="548"/>
      <c r="P82" s="548"/>
      <c r="Q82" s="548"/>
      <c r="R82" s="548"/>
      <c r="S82" s="548"/>
      <c r="T82" s="548"/>
      <c r="U82" s="548"/>
      <c r="V82" s="548"/>
      <c r="W82" s="548"/>
      <c r="X82" s="548"/>
      <c r="Y82" s="548"/>
    </row>
    <row r="83" spans="1:25" ht="9.9499999999999993" customHeight="1" x14ac:dyDescent="0.25">
      <c r="A83" s="551"/>
      <c r="B83" s="548"/>
      <c r="C83" s="548"/>
      <c r="D83" s="548"/>
      <c r="E83" s="548"/>
      <c r="F83" s="548"/>
      <c r="G83" s="548"/>
      <c r="H83" s="548"/>
      <c r="I83" s="548"/>
      <c r="J83" s="548"/>
      <c r="K83" s="548"/>
      <c r="L83" s="548"/>
      <c r="M83" s="548"/>
      <c r="N83" s="548"/>
      <c r="O83" s="548"/>
      <c r="P83" s="548"/>
      <c r="Q83" s="548"/>
      <c r="R83" s="548"/>
      <c r="S83" s="548"/>
      <c r="T83" s="548"/>
      <c r="U83" s="548"/>
      <c r="V83" s="548"/>
      <c r="W83" s="548"/>
      <c r="X83" s="548"/>
      <c r="Y83" s="548"/>
    </row>
    <row r="84" spans="1:25" ht="9.9499999999999993" customHeight="1" x14ac:dyDescent="0.25">
      <c r="A84" s="549">
        <f t="shared" si="8"/>
        <v>26</v>
      </c>
      <c r="B84" s="548"/>
      <c r="C84" s="548"/>
      <c r="D84" s="548"/>
      <c r="E84" s="548"/>
      <c r="F84" s="548"/>
      <c r="G84" s="548"/>
      <c r="H84" s="548"/>
      <c r="I84" s="548"/>
      <c r="J84" s="548"/>
      <c r="K84" s="548"/>
      <c r="L84" s="548"/>
      <c r="M84" s="548"/>
      <c r="N84" s="548"/>
      <c r="O84" s="548"/>
      <c r="P84" s="548"/>
      <c r="Q84" s="548"/>
      <c r="R84" s="548"/>
      <c r="S84" s="548"/>
      <c r="T84" s="548"/>
      <c r="U84" s="548"/>
      <c r="V84" s="548"/>
      <c r="W84" s="548"/>
      <c r="X84" s="548"/>
      <c r="Y84" s="548"/>
    </row>
    <row r="85" spans="1:25" s="27" customFormat="1" ht="20.100000000000001" customHeight="1" x14ac:dyDescent="0.25">
      <c r="A85" s="550"/>
      <c r="B85" s="548"/>
      <c r="C85" s="548"/>
      <c r="D85" s="548"/>
      <c r="E85" s="548"/>
      <c r="F85" s="548"/>
      <c r="G85" s="548"/>
      <c r="H85" s="548"/>
      <c r="I85" s="548"/>
      <c r="J85" s="548"/>
      <c r="K85" s="548"/>
      <c r="L85" s="548"/>
      <c r="M85" s="548"/>
      <c r="N85" s="548"/>
      <c r="O85" s="548"/>
      <c r="P85" s="548"/>
      <c r="Q85" s="548"/>
      <c r="R85" s="548"/>
      <c r="S85" s="548"/>
      <c r="T85" s="548"/>
      <c r="U85" s="548"/>
      <c r="V85" s="548"/>
      <c r="W85" s="548"/>
      <c r="X85" s="548"/>
      <c r="Y85" s="548"/>
    </row>
    <row r="86" spans="1:25" ht="9.9499999999999993" customHeight="1" x14ac:dyDescent="0.25">
      <c r="A86" s="551"/>
      <c r="B86" s="548"/>
      <c r="C86" s="548"/>
      <c r="D86" s="548"/>
      <c r="E86" s="548"/>
      <c r="F86" s="548"/>
      <c r="G86" s="548"/>
      <c r="H86" s="548"/>
      <c r="I86" s="548"/>
      <c r="J86" s="548"/>
      <c r="K86" s="548"/>
      <c r="L86" s="548"/>
      <c r="M86" s="548"/>
      <c r="N86" s="548"/>
      <c r="O86" s="548"/>
      <c r="P86" s="548"/>
      <c r="Q86" s="548"/>
      <c r="R86" s="548"/>
      <c r="S86" s="548"/>
      <c r="T86" s="548"/>
      <c r="U86" s="548"/>
      <c r="V86" s="548"/>
      <c r="W86" s="548"/>
      <c r="X86" s="548"/>
      <c r="Y86" s="548"/>
    </row>
    <row r="87" spans="1:25" ht="9.9499999999999993" customHeight="1" x14ac:dyDescent="0.25">
      <c r="A87" s="549">
        <f t="shared" si="8"/>
        <v>27</v>
      </c>
      <c r="B87" s="548"/>
      <c r="C87" s="548"/>
      <c r="D87" s="548"/>
      <c r="E87" s="548"/>
      <c r="F87" s="548"/>
      <c r="G87" s="548"/>
      <c r="H87" s="548"/>
      <c r="I87" s="548"/>
      <c r="J87" s="548"/>
      <c r="K87" s="548"/>
      <c r="L87" s="548"/>
      <c r="M87" s="548"/>
      <c r="N87" s="548"/>
      <c r="O87" s="548"/>
      <c r="P87" s="548"/>
      <c r="Q87" s="548"/>
      <c r="R87" s="548"/>
      <c r="S87" s="548"/>
      <c r="T87" s="548"/>
      <c r="U87" s="548"/>
      <c r="V87" s="548"/>
      <c r="W87" s="548"/>
      <c r="X87" s="548"/>
      <c r="Y87" s="548"/>
    </row>
    <row r="88" spans="1:25" s="27" customFormat="1" ht="20.100000000000001" customHeight="1" x14ac:dyDescent="0.25">
      <c r="A88" s="550"/>
      <c r="B88" s="548"/>
      <c r="C88" s="548"/>
      <c r="D88" s="548"/>
      <c r="E88" s="548"/>
      <c r="F88" s="548"/>
      <c r="G88" s="548"/>
      <c r="H88" s="548"/>
      <c r="I88" s="548"/>
      <c r="J88" s="548"/>
      <c r="K88" s="548"/>
      <c r="L88" s="548"/>
      <c r="M88" s="548"/>
      <c r="N88" s="548"/>
      <c r="O88" s="548"/>
      <c r="P88" s="548"/>
      <c r="Q88" s="548"/>
      <c r="R88" s="548"/>
      <c r="S88" s="548"/>
      <c r="T88" s="548"/>
      <c r="U88" s="548"/>
      <c r="V88" s="548"/>
      <c r="W88" s="548"/>
      <c r="X88" s="548"/>
      <c r="Y88" s="548"/>
    </row>
    <row r="89" spans="1:25" ht="9.9499999999999993" customHeight="1" x14ac:dyDescent="0.25">
      <c r="A89" s="551"/>
      <c r="B89" s="548"/>
      <c r="C89" s="548"/>
      <c r="D89" s="548"/>
      <c r="E89" s="548"/>
      <c r="F89" s="548"/>
      <c r="G89" s="548"/>
      <c r="H89" s="548"/>
      <c r="I89" s="548"/>
      <c r="J89" s="548"/>
      <c r="K89" s="548"/>
      <c r="L89" s="548"/>
      <c r="M89" s="548"/>
      <c r="N89" s="548"/>
      <c r="O89" s="548"/>
      <c r="P89" s="548"/>
      <c r="Q89" s="548"/>
      <c r="R89" s="548"/>
      <c r="S89" s="548"/>
      <c r="T89" s="548"/>
      <c r="U89" s="548"/>
      <c r="V89" s="548"/>
      <c r="W89" s="548"/>
      <c r="X89" s="548"/>
      <c r="Y89" s="548"/>
    </row>
    <row r="90" spans="1:25" ht="9.9499999999999993" customHeight="1" x14ac:dyDescent="0.25">
      <c r="A90" s="549">
        <f t="shared" si="8"/>
        <v>28</v>
      </c>
      <c r="B90" s="548"/>
      <c r="C90" s="548"/>
      <c r="D90" s="548"/>
      <c r="E90" s="548"/>
      <c r="F90" s="548"/>
      <c r="G90" s="548"/>
      <c r="H90" s="548"/>
      <c r="I90" s="548"/>
      <c r="J90" s="548"/>
      <c r="K90" s="548"/>
      <c r="L90" s="548"/>
      <c r="M90" s="548"/>
      <c r="N90" s="548"/>
      <c r="O90" s="548"/>
      <c r="P90" s="548"/>
      <c r="Q90" s="548"/>
      <c r="R90" s="548"/>
      <c r="S90" s="548"/>
      <c r="T90" s="548"/>
      <c r="U90" s="548"/>
      <c r="V90" s="548"/>
      <c r="W90" s="548"/>
      <c r="X90" s="548"/>
      <c r="Y90" s="548"/>
    </row>
    <row r="91" spans="1:25" s="27" customFormat="1" ht="20.100000000000001" customHeight="1" x14ac:dyDescent="0.25">
      <c r="A91" s="550"/>
      <c r="B91" s="548"/>
      <c r="C91" s="548"/>
      <c r="D91" s="548"/>
      <c r="E91" s="548"/>
      <c r="F91" s="548"/>
      <c r="G91" s="548"/>
      <c r="H91" s="548"/>
      <c r="I91" s="548"/>
      <c r="J91" s="548"/>
      <c r="K91" s="548"/>
      <c r="L91" s="548"/>
      <c r="M91" s="548"/>
      <c r="N91" s="548"/>
      <c r="O91" s="548"/>
      <c r="P91" s="548"/>
      <c r="Q91" s="548"/>
      <c r="R91" s="548"/>
      <c r="S91" s="548"/>
      <c r="T91" s="548"/>
      <c r="U91" s="548"/>
      <c r="V91" s="548"/>
      <c r="W91" s="548"/>
      <c r="X91" s="548"/>
      <c r="Y91" s="548"/>
    </row>
    <row r="92" spans="1:25" ht="9.9499999999999993" customHeight="1" x14ac:dyDescent="0.25">
      <c r="A92" s="551"/>
      <c r="B92" s="548"/>
      <c r="C92" s="548"/>
      <c r="D92" s="548"/>
      <c r="E92" s="548"/>
      <c r="F92" s="548"/>
      <c r="G92" s="548"/>
      <c r="H92" s="548"/>
      <c r="I92" s="548"/>
      <c r="J92" s="548"/>
      <c r="K92" s="548"/>
      <c r="L92" s="548"/>
      <c r="M92" s="548"/>
      <c r="N92" s="548"/>
      <c r="O92" s="548"/>
      <c r="P92" s="548"/>
      <c r="Q92" s="548"/>
      <c r="R92" s="548"/>
      <c r="S92" s="548"/>
      <c r="T92" s="548"/>
      <c r="U92" s="548"/>
      <c r="V92" s="548"/>
      <c r="W92" s="548"/>
      <c r="X92" s="548"/>
      <c r="Y92" s="548"/>
    </row>
    <row r="93" spans="1:25" ht="9.9499999999999993" customHeight="1" x14ac:dyDescent="0.25">
      <c r="A93" s="549">
        <f t="shared" si="8"/>
        <v>29</v>
      </c>
      <c r="B93" s="548"/>
      <c r="C93" s="548"/>
      <c r="D93" s="548"/>
      <c r="E93" s="548"/>
      <c r="F93" s="548"/>
      <c r="G93" s="548"/>
      <c r="H93" s="548"/>
      <c r="I93" s="548"/>
      <c r="J93" s="548"/>
      <c r="K93" s="548"/>
      <c r="L93" s="548"/>
      <c r="M93" s="548"/>
      <c r="N93" s="548"/>
      <c r="O93" s="548"/>
      <c r="P93" s="548"/>
      <c r="Q93" s="548"/>
      <c r="R93" s="548"/>
      <c r="S93" s="548"/>
      <c r="T93" s="548"/>
      <c r="U93" s="548"/>
      <c r="V93" s="548"/>
      <c r="W93" s="548"/>
      <c r="X93" s="548"/>
      <c r="Y93" s="548"/>
    </row>
    <row r="94" spans="1:25" s="27" customFormat="1" ht="20.100000000000001" customHeight="1" x14ac:dyDescent="0.25">
      <c r="A94" s="550"/>
      <c r="B94" s="548"/>
      <c r="C94" s="548"/>
      <c r="D94" s="548"/>
      <c r="E94" s="548"/>
      <c r="F94" s="548"/>
      <c r="G94" s="548"/>
      <c r="H94" s="548"/>
      <c r="I94" s="548"/>
      <c r="J94" s="548"/>
      <c r="K94" s="548"/>
      <c r="L94" s="548"/>
      <c r="M94" s="548"/>
      <c r="N94" s="548"/>
      <c r="O94" s="548"/>
      <c r="P94" s="548"/>
      <c r="Q94" s="548"/>
      <c r="R94" s="548"/>
      <c r="S94" s="548"/>
      <c r="T94" s="548"/>
      <c r="U94" s="548"/>
      <c r="V94" s="548"/>
      <c r="W94" s="548"/>
      <c r="X94" s="548"/>
      <c r="Y94" s="548"/>
    </row>
    <row r="95" spans="1:25" ht="9.9499999999999993" customHeight="1" x14ac:dyDescent="0.25">
      <c r="A95" s="551"/>
      <c r="B95" s="548"/>
      <c r="C95" s="548"/>
      <c r="D95" s="548"/>
      <c r="E95" s="548"/>
      <c r="F95" s="548"/>
      <c r="G95" s="548"/>
      <c r="H95" s="548"/>
      <c r="I95" s="548"/>
      <c r="J95" s="548"/>
      <c r="K95" s="548"/>
      <c r="L95" s="548"/>
      <c r="M95" s="548"/>
      <c r="N95" s="548"/>
      <c r="O95" s="548"/>
      <c r="P95" s="548"/>
      <c r="Q95" s="548"/>
      <c r="R95" s="548"/>
      <c r="S95" s="548"/>
      <c r="T95" s="548"/>
      <c r="U95" s="548"/>
      <c r="V95" s="548"/>
      <c r="W95" s="548"/>
      <c r="X95" s="548"/>
      <c r="Y95" s="548"/>
    </row>
    <row r="96" spans="1:25" ht="9.9499999999999993" customHeight="1" x14ac:dyDescent="0.25">
      <c r="A96" s="549">
        <f t="shared" si="8"/>
        <v>30</v>
      </c>
      <c r="B96" s="548"/>
      <c r="C96" s="548"/>
      <c r="D96" s="548"/>
      <c r="E96" s="548"/>
      <c r="F96" s="548"/>
      <c r="G96" s="548"/>
      <c r="H96" s="548"/>
      <c r="I96" s="548"/>
      <c r="J96" s="548"/>
      <c r="K96" s="548"/>
      <c r="L96" s="548"/>
      <c r="M96" s="548"/>
      <c r="N96" s="548"/>
      <c r="O96" s="548"/>
      <c r="P96" s="548"/>
      <c r="Q96" s="548"/>
      <c r="R96" s="548"/>
      <c r="S96" s="548"/>
      <c r="T96" s="548"/>
      <c r="U96" s="548"/>
      <c r="V96" s="548"/>
      <c r="W96" s="548"/>
      <c r="X96" s="548"/>
      <c r="Y96" s="548"/>
    </row>
    <row r="97" spans="1:25" s="27" customFormat="1" ht="20.100000000000001" customHeight="1" x14ac:dyDescent="0.25">
      <c r="A97" s="550"/>
      <c r="B97" s="548"/>
      <c r="C97" s="548"/>
      <c r="D97" s="548"/>
      <c r="E97" s="548"/>
      <c r="F97" s="548"/>
      <c r="G97" s="548"/>
      <c r="H97" s="548"/>
      <c r="I97" s="548"/>
      <c r="J97" s="548"/>
      <c r="K97" s="548"/>
      <c r="L97" s="548"/>
      <c r="M97" s="548"/>
      <c r="N97" s="548"/>
      <c r="O97" s="548"/>
      <c r="P97" s="548"/>
      <c r="Q97" s="548"/>
      <c r="R97" s="548"/>
      <c r="S97" s="548"/>
      <c r="T97" s="548"/>
      <c r="U97" s="548"/>
      <c r="V97" s="548"/>
      <c r="W97" s="548"/>
      <c r="X97" s="548"/>
      <c r="Y97" s="548"/>
    </row>
    <row r="98" spans="1:25" ht="9.9499999999999993" customHeight="1" x14ac:dyDescent="0.25">
      <c r="A98" s="551"/>
      <c r="B98" s="548"/>
      <c r="C98" s="548"/>
      <c r="D98" s="548"/>
      <c r="E98" s="548"/>
      <c r="F98" s="548"/>
      <c r="G98" s="548"/>
      <c r="H98" s="548"/>
      <c r="I98" s="548"/>
      <c r="J98" s="548"/>
      <c r="K98" s="548"/>
      <c r="L98" s="548"/>
      <c r="M98" s="548"/>
      <c r="N98" s="548"/>
      <c r="O98" s="548"/>
      <c r="P98" s="548"/>
      <c r="Q98" s="548"/>
      <c r="R98" s="548"/>
      <c r="S98" s="548"/>
      <c r="T98" s="548"/>
      <c r="U98" s="548"/>
      <c r="V98" s="548"/>
      <c r="W98" s="548"/>
      <c r="X98" s="548"/>
      <c r="Y98" s="548"/>
    </row>
    <row r="99" spans="1:25" ht="9.9499999999999993" customHeight="1" x14ac:dyDescent="0.25">
      <c r="A99" s="549">
        <f t="shared" ref="A99:A126" si="9">1+A96</f>
        <v>31</v>
      </c>
      <c r="B99" s="548"/>
      <c r="C99" s="548"/>
      <c r="D99" s="548"/>
      <c r="E99" s="548"/>
      <c r="F99" s="548"/>
      <c r="G99" s="548"/>
      <c r="H99" s="548"/>
      <c r="I99" s="548"/>
      <c r="J99" s="548"/>
      <c r="K99" s="548"/>
      <c r="L99" s="548"/>
      <c r="M99" s="548"/>
      <c r="N99" s="548"/>
      <c r="O99" s="548"/>
      <c r="P99" s="548"/>
      <c r="Q99" s="548"/>
      <c r="R99" s="548"/>
      <c r="S99" s="548"/>
      <c r="T99" s="548"/>
      <c r="U99" s="548"/>
      <c r="V99" s="548"/>
      <c r="W99" s="548"/>
      <c r="X99" s="548"/>
      <c r="Y99" s="548"/>
    </row>
    <row r="100" spans="1:25" s="27" customFormat="1" ht="20.100000000000001" customHeight="1" x14ac:dyDescent="0.25">
      <c r="A100" s="550"/>
      <c r="B100" s="548"/>
      <c r="C100" s="548"/>
      <c r="D100" s="548"/>
      <c r="E100" s="548"/>
      <c r="F100" s="548"/>
      <c r="G100" s="548"/>
      <c r="H100" s="548"/>
      <c r="I100" s="548"/>
      <c r="J100" s="548"/>
      <c r="K100" s="548"/>
      <c r="L100" s="548"/>
      <c r="M100" s="548"/>
      <c r="N100" s="548"/>
      <c r="O100" s="548"/>
      <c r="P100" s="548"/>
      <c r="Q100" s="548"/>
      <c r="R100" s="548"/>
      <c r="S100" s="548"/>
      <c r="T100" s="548"/>
      <c r="U100" s="548"/>
      <c r="V100" s="548"/>
      <c r="W100" s="548"/>
      <c r="X100" s="548"/>
      <c r="Y100" s="548"/>
    </row>
    <row r="101" spans="1:25" ht="9.9499999999999993" customHeight="1" x14ac:dyDescent="0.25">
      <c r="A101" s="551"/>
      <c r="B101" s="548"/>
      <c r="C101" s="548"/>
      <c r="D101" s="548"/>
      <c r="E101" s="548"/>
      <c r="F101" s="548"/>
      <c r="G101" s="548"/>
      <c r="H101" s="548"/>
      <c r="I101" s="548"/>
      <c r="J101" s="548"/>
      <c r="K101" s="548"/>
      <c r="L101" s="548"/>
      <c r="M101" s="548"/>
      <c r="N101" s="548"/>
      <c r="O101" s="548"/>
      <c r="P101" s="548"/>
      <c r="Q101" s="548"/>
      <c r="R101" s="548"/>
      <c r="S101" s="548"/>
      <c r="T101" s="548"/>
      <c r="U101" s="548"/>
      <c r="V101" s="548"/>
      <c r="W101" s="548"/>
      <c r="X101" s="548"/>
      <c r="Y101" s="548"/>
    </row>
    <row r="102" spans="1:25" ht="9.9499999999999993" customHeight="1" x14ac:dyDescent="0.25">
      <c r="A102" s="549">
        <f t="shared" si="9"/>
        <v>32</v>
      </c>
      <c r="B102" s="548"/>
      <c r="C102" s="548"/>
      <c r="D102" s="548"/>
      <c r="E102" s="548"/>
      <c r="F102" s="548"/>
      <c r="G102" s="548"/>
      <c r="H102" s="548"/>
      <c r="I102" s="548"/>
      <c r="J102" s="548"/>
      <c r="K102" s="548"/>
      <c r="L102" s="548"/>
      <c r="M102" s="548"/>
      <c r="N102" s="548"/>
      <c r="O102" s="548"/>
      <c r="P102" s="548"/>
      <c r="Q102" s="548"/>
      <c r="R102" s="548"/>
      <c r="S102" s="548"/>
      <c r="T102" s="548"/>
      <c r="U102" s="548"/>
      <c r="V102" s="548"/>
      <c r="W102" s="548"/>
      <c r="X102" s="548"/>
      <c r="Y102" s="548"/>
    </row>
    <row r="103" spans="1:25" s="27" customFormat="1" ht="20.100000000000001" customHeight="1" x14ac:dyDescent="0.25">
      <c r="A103" s="550"/>
      <c r="B103" s="548"/>
      <c r="C103" s="548"/>
      <c r="D103" s="548"/>
      <c r="E103" s="548"/>
      <c r="F103" s="548"/>
      <c r="G103" s="548"/>
      <c r="H103" s="548"/>
      <c r="I103" s="548"/>
      <c r="J103" s="548"/>
      <c r="K103" s="548"/>
      <c r="L103" s="548"/>
      <c r="M103" s="548"/>
      <c r="N103" s="548"/>
      <c r="O103" s="548"/>
      <c r="P103" s="548"/>
      <c r="Q103" s="548"/>
      <c r="R103" s="548"/>
      <c r="S103" s="548"/>
      <c r="T103" s="548"/>
      <c r="U103" s="548"/>
      <c r="V103" s="548"/>
      <c r="W103" s="548"/>
      <c r="X103" s="548"/>
      <c r="Y103" s="548"/>
    </row>
    <row r="104" spans="1:25" ht="9.9499999999999993" customHeight="1" x14ac:dyDescent="0.25">
      <c r="A104" s="551"/>
      <c r="B104" s="548"/>
      <c r="C104" s="548"/>
      <c r="D104" s="548"/>
      <c r="E104" s="548"/>
      <c r="F104" s="548"/>
      <c r="G104" s="548"/>
      <c r="H104" s="548"/>
      <c r="I104" s="548"/>
      <c r="J104" s="548"/>
      <c r="K104" s="548"/>
      <c r="L104" s="548"/>
      <c r="M104" s="548"/>
      <c r="N104" s="548"/>
      <c r="O104" s="548"/>
      <c r="P104" s="548"/>
      <c r="Q104" s="548"/>
      <c r="R104" s="548"/>
      <c r="S104" s="548"/>
      <c r="T104" s="548"/>
      <c r="U104" s="548"/>
      <c r="V104" s="548"/>
      <c r="W104" s="548"/>
      <c r="X104" s="548"/>
      <c r="Y104" s="548"/>
    </row>
    <row r="105" spans="1:25" ht="9.9499999999999993" customHeight="1" x14ac:dyDescent="0.25">
      <c r="A105" s="549">
        <f t="shared" si="9"/>
        <v>33</v>
      </c>
      <c r="B105" s="548"/>
      <c r="C105" s="548"/>
      <c r="D105" s="548"/>
      <c r="E105" s="548"/>
      <c r="F105" s="548"/>
      <c r="G105" s="548"/>
      <c r="H105" s="548"/>
      <c r="I105" s="548"/>
      <c r="J105" s="548"/>
      <c r="K105" s="548"/>
      <c r="L105" s="548"/>
      <c r="M105" s="548"/>
      <c r="N105" s="548"/>
      <c r="O105" s="548"/>
      <c r="P105" s="548"/>
      <c r="Q105" s="548"/>
      <c r="R105" s="548"/>
      <c r="S105" s="548"/>
      <c r="T105" s="548"/>
      <c r="U105" s="548"/>
      <c r="V105" s="548"/>
      <c r="W105" s="548"/>
      <c r="X105" s="548"/>
      <c r="Y105" s="548"/>
    </row>
    <row r="106" spans="1:25" s="27" customFormat="1" ht="20.100000000000001" customHeight="1" x14ac:dyDescent="0.25">
      <c r="A106" s="550"/>
      <c r="B106" s="548"/>
      <c r="C106" s="548"/>
      <c r="D106" s="548"/>
      <c r="E106" s="548"/>
      <c r="F106" s="548"/>
      <c r="G106" s="548"/>
      <c r="H106" s="548"/>
      <c r="I106" s="548"/>
      <c r="J106" s="548"/>
      <c r="K106" s="548"/>
      <c r="L106" s="548"/>
      <c r="M106" s="548"/>
      <c r="N106" s="548"/>
      <c r="O106" s="548"/>
      <c r="P106" s="548"/>
      <c r="Q106" s="548"/>
      <c r="R106" s="548"/>
      <c r="S106" s="548"/>
      <c r="T106" s="548"/>
      <c r="U106" s="548"/>
      <c r="V106" s="548"/>
      <c r="W106" s="548"/>
      <c r="X106" s="548"/>
      <c r="Y106" s="548"/>
    </row>
    <row r="107" spans="1:25" ht="9.9499999999999993" customHeight="1" x14ac:dyDescent="0.25">
      <c r="A107" s="551"/>
      <c r="B107" s="548"/>
      <c r="C107" s="548"/>
      <c r="D107" s="548"/>
      <c r="E107" s="548"/>
      <c r="F107" s="548"/>
      <c r="G107" s="548"/>
      <c r="H107" s="548"/>
      <c r="I107" s="548"/>
      <c r="J107" s="548"/>
      <c r="K107" s="548"/>
      <c r="L107" s="548"/>
      <c r="M107" s="548"/>
      <c r="N107" s="548"/>
      <c r="O107" s="548"/>
      <c r="P107" s="548"/>
      <c r="Q107" s="548"/>
      <c r="R107" s="548"/>
      <c r="S107" s="548"/>
      <c r="T107" s="548"/>
      <c r="U107" s="548"/>
      <c r="V107" s="548"/>
      <c r="W107" s="548"/>
      <c r="X107" s="548"/>
      <c r="Y107" s="548"/>
    </row>
    <row r="108" spans="1:25" ht="9.9499999999999993" customHeight="1" x14ac:dyDescent="0.25">
      <c r="A108" s="549">
        <f t="shared" si="9"/>
        <v>34</v>
      </c>
      <c r="B108" s="548"/>
      <c r="C108" s="548"/>
      <c r="D108" s="548"/>
      <c r="E108" s="548"/>
      <c r="F108" s="548"/>
      <c r="G108" s="548"/>
      <c r="H108" s="548"/>
      <c r="I108" s="548"/>
      <c r="J108" s="548"/>
      <c r="K108" s="548"/>
      <c r="L108" s="548"/>
      <c r="M108" s="548"/>
      <c r="N108" s="548"/>
      <c r="O108" s="548"/>
      <c r="P108" s="548"/>
      <c r="Q108" s="548"/>
      <c r="R108" s="548"/>
      <c r="S108" s="548"/>
      <c r="T108" s="548"/>
      <c r="U108" s="548"/>
      <c r="V108" s="548"/>
      <c r="W108" s="548"/>
      <c r="X108" s="548"/>
      <c r="Y108" s="548"/>
    </row>
    <row r="109" spans="1:25" s="27" customFormat="1" ht="20.100000000000001" customHeight="1" x14ac:dyDescent="0.25">
      <c r="A109" s="550"/>
      <c r="B109" s="548"/>
      <c r="C109" s="548"/>
      <c r="D109" s="548"/>
      <c r="E109" s="548"/>
      <c r="F109" s="548"/>
      <c r="G109" s="548"/>
      <c r="H109" s="548"/>
      <c r="I109" s="548"/>
      <c r="J109" s="548"/>
      <c r="K109" s="548"/>
      <c r="L109" s="548"/>
      <c r="M109" s="548"/>
      <c r="N109" s="548"/>
      <c r="O109" s="548"/>
      <c r="P109" s="548"/>
      <c r="Q109" s="548"/>
      <c r="R109" s="548"/>
      <c r="S109" s="548"/>
      <c r="T109" s="548"/>
      <c r="U109" s="548"/>
      <c r="V109" s="548"/>
      <c r="W109" s="548"/>
      <c r="X109" s="548"/>
      <c r="Y109" s="548"/>
    </row>
    <row r="110" spans="1:25" ht="9.9499999999999993" customHeight="1" x14ac:dyDescent="0.25">
      <c r="A110" s="551"/>
      <c r="B110" s="548"/>
      <c r="C110" s="548"/>
      <c r="D110" s="548"/>
      <c r="E110" s="548"/>
      <c r="F110" s="548"/>
      <c r="G110" s="548"/>
      <c r="H110" s="548"/>
      <c r="I110" s="548"/>
      <c r="J110" s="548"/>
      <c r="K110" s="548"/>
      <c r="L110" s="548"/>
      <c r="M110" s="548"/>
      <c r="N110" s="548"/>
      <c r="O110" s="548"/>
      <c r="P110" s="548"/>
      <c r="Q110" s="548"/>
      <c r="R110" s="548"/>
      <c r="S110" s="548"/>
      <c r="T110" s="548"/>
      <c r="U110" s="548"/>
      <c r="V110" s="548"/>
      <c r="W110" s="548"/>
      <c r="X110" s="548"/>
      <c r="Y110" s="548"/>
    </row>
    <row r="111" spans="1:25" ht="9.9499999999999993" customHeight="1" x14ac:dyDescent="0.25">
      <c r="A111" s="549">
        <f t="shared" si="9"/>
        <v>35</v>
      </c>
      <c r="B111" s="548"/>
      <c r="C111" s="548"/>
      <c r="D111" s="548"/>
      <c r="E111" s="548"/>
      <c r="F111" s="548"/>
      <c r="G111" s="548"/>
      <c r="H111" s="548"/>
      <c r="I111" s="548"/>
      <c r="J111" s="548"/>
      <c r="K111" s="548"/>
      <c r="L111" s="548"/>
      <c r="M111" s="548"/>
      <c r="N111" s="548"/>
      <c r="O111" s="548"/>
      <c r="P111" s="548"/>
      <c r="Q111" s="548"/>
      <c r="R111" s="548"/>
      <c r="S111" s="548"/>
      <c r="T111" s="548"/>
      <c r="U111" s="548"/>
      <c r="V111" s="548"/>
      <c r="W111" s="548"/>
      <c r="X111" s="548"/>
      <c r="Y111" s="548"/>
    </row>
    <row r="112" spans="1:25" s="27" customFormat="1" ht="20.100000000000001" customHeight="1" x14ac:dyDescent="0.25">
      <c r="A112" s="550"/>
      <c r="B112" s="548"/>
      <c r="C112" s="548"/>
      <c r="D112" s="548"/>
      <c r="E112" s="548"/>
      <c r="F112" s="548"/>
      <c r="G112" s="548"/>
      <c r="H112" s="548"/>
      <c r="I112" s="548"/>
      <c r="J112" s="548"/>
      <c r="K112" s="548"/>
      <c r="L112" s="548"/>
      <c r="M112" s="548"/>
      <c r="N112" s="548"/>
      <c r="O112" s="548"/>
      <c r="P112" s="548"/>
      <c r="Q112" s="548"/>
      <c r="R112" s="548"/>
      <c r="S112" s="548"/>
      <c r="T112" s="548"/>
      <c r="U112" s="548"/>
      <c r="V112" s="548"/>
      <c r="W112" s="548"/>
      <c r="X112" s="548"/>
      <c r="Y112" s="548"/>
    </row>
    <row r="113" spans="1:25" ht="9.9499999999999993" customHeight="1" x14ac:dyDescent="0.25">
      <c r="A113" s="551"/>
      <c r="B113" s="548"/>
      <c r="C113" s="548"/>
      <c r="D113" s="548"/>
      <c r="E113" s="548"/>
      <c r="F113" s="548"/>
      <c r="G113" s="548"/>
      <c r="H113" s="548"/>
      <c r="I113" s="548"/>
      <c r="J113" s="548"/>
      <c r="K113" s="548"/>
      <c r="L113" s="548"/>
      <c r="M113" s="548"/>
      <c r="N113" s="548"/>
      <c r="O113" s="548"/>
      <c r="P113" s="548"/>
      <c r="Q113" s="548"/>
      <c r="R113" s="548"/>
      <c r="S113" s="548"/>
      <c r="T113" s="548"/>
      <c r="U113" s="548"/>
      <c r="V113" s="548"/>
      <c r="W113" s="548"/>
      <c r="X113" s="548"/>
      <c r="Y113" s="548"/>
    </row>
    <row r="114" spans="1:25" ht="9.9499999999999993" customHeight="1" x14ac:dyDescent="0.25">
      <c r="A114" s="549">
        <f t="shared" si="9"/>
        <v>36</v>
      </c>
      <c r="B114" s="548"/>
      <c r="C114" s="548"/>
      <c r="D114" s="548"/>
      <c r="E114" s="548"/>
      <c r="F114" s="548"/>
      <c r="G114" s="548"/>
      <c r="H114" s="548"/>
      <c r="I114" s="548"/>
      <c r="J114" s="548"/>
      <c r="K114" s="548"/>
      <c r="L114" s="548"/>
      <c r="M114" s="548"/>
      <c r="N114" s="548"/>
      <c r="O114" s="548"/>
      <c r="P114" s="548"/>
      <c r="Q114" s="548"/>
      <c r="R114" s="548"/>
      <c r="S114" s="548"/>
      <c r="T114" s="548"/>
      <c r="U114" s="548"/>
      <c r="V114" s="548"/>
      <c r="W114" s="548"/>
      <c r="X114" s="548"/>
      <c r="Y114" s="548"/>
    </row>
    <row r="115" spans="1:25" s="27" customFormat="1" ht="20.100000000000001" customHeight="1" x14ac:dyDescent="0.25">
      <c r="A115" s="550"/>
      <c r="B115" s="548"/>
      <c r="C115" s="548"/>
      <c r="D115" s="548"/>
      <c r="E115" s="548"/>
      <c r="F115" s="548"/>
      <c r="G115" s="548"/>
      <c r="H115" s="548"/>
      <c r="I115" s="548"/>
      <c r="J115" s="548"/>
      <c r="K115" s="548"/>
      <c r="L115" s="548"/>
      <c r="M115" s="548"/>
      <c r="N115" s="548"/>
      <c r="O115" s="548"/>
      <c r="P115" s="548"/>
      <c r="Q115" s="548"/>
      <c r="R115" s="548"/>
      <c r="S115" s="548"/>
      <c r="T115" s="548"/>
      <c r="U115" s="548"/>
      <c r="V115" s="548"/>
      <c r="W115" s="548"/>
      <c r="X115" s="548"/>
      <c r="Y115" s="548"/>
    </row>
    <row r="116" spans="1:25" ht="9.9499999999999993" customHeight="1" x14ac:dyDescent="0.25">
      <c r="A116" s="551"/>
      <c r="B116" s="548"/>
      <c r="C116" s="548"/>
      <c r="D116" s="548"/>
      <c r="E116" s="548"/>
      <c r="F116" s="548"/>
      <c r="G116" s="548"/>
      <c r="H116" s="548"/>
      <c r="I116" s="548"/>
      <c r="J116" s="548"/>
      <c r="K116" s="548"/>
      <c r="L116" s="548"/>
      <c r="M116" s="548"/>
      <c r="N116" s="548"/>
      <c r="O116" s="548"/>
      <c r="P116" s="548"/>
      <c r="Q116" s="548"/>
      <c r="R116" s="548"/>
      <c r="S116" s="548"/>
      <c r="T116" s="548"/>
      <c r="U116" s="548"/>
      <c r="V116" s="548"/>
      <c r="W116" s="548"/>
      <c r="X116" s="548"/>
      <c r="Y116" s="548"/>
    </row>
    <row r="117" spans="1:25" ht="9.9499999999999993" customHeight="1" x14ac:dyDescent="0.25">
      <c r="A117" s="549">
        <f t="shared" si="9"/>
        <v>37</v>
      </c>
      <c r="B117" s="548"/>
      <c r="C117" s="548"/>
      <c r="D117" s="548"/>
      <c r="E117" s="548"/>
      <c r="F117" s="548"/>
      <c r="G117" s="548"/>
      <c r="H117" s="548"/>
      <c r="I117" s="548"/>
      <c r="J117" s="548"/>
      <c r="K117" s="548"/>
      <c r="L117" s="548"/>
      <c r="M117" s="548"/>
      <c r="N117" s="548"/>
      <c r="O117" s="548"/>
      <c r="P117" s="548"/>
      <c r="Q117" s="548"/>
      <c r="R117" s="548"/>
      <c r="S117" s="548"/>
      <c r="T117" s="548"/>
      <c r="U117" s="548"/>
      <c r="V117" s="548"/>
      <c r="W117" s="548"/>
      <c r="X117" s="548"/>
      <c r="Y117" s="548"/>
    </row>
    <row r="118" spans="1:25" s="27" customFormat="1" ht="20.100000000000001" customHeight="1" x14ac:dyDescent="0.25">
      <c r="A118" s="550"/>
      <c r="B118" s="548"/>
      <c r="C118" s="548"/>
      <c r="D118" s="548"/>
      <c r="E118" s="548"/>
      <c r="F118" s="548"/>
      <c r="G118" s="548"/>
      <c r="H118" s="548"/>
      <c r="I118" s="548"/>
      <c r="J118" s="548"/>
      <c r="K118" s="548"/>
      <c r="L118" s="548"/>
      <c r="M118" s="548"/>
      <c r="N118" s="548"/>
      <c r="O118" s="548"/>
      <c r="P118" s="548"/>
      <c r="Q118" s="548"/>
      <c r="R118" s="548"/>
      <c r="S118" s="548"/>
      <c r="T118" s="548"/>
      <c r="U118" s="548"/>
      <c r="V118" s="548"/>
      <c r="W118" s="548"/>
      <c r="X118" s="548"/>
      <c r="Y118" s="548"/>
    </row>
    <row r="119" spans="1:25" ht="9.9499999999999993" customHeight="1" x14ac:dyDescent="0.25">
      <c r="A119" s="551"/>
      <c r="B119" s="548"/>
      <c r="C119" s="548"/>
      <c r="D119" s="548"/>
      <c r="E119" s="548"/>
      <c r="F119" s="548"/>
      <c r="G119" s="548"/>
      <c r="H119" s="548"/>
      <c r="I119" s="548"/>
      <c r="J119" s="548"/>
      <c r="K119" s="548"/>
      <c r="L119" s="548"/>
      <c r="M119" s="548"/>
      <c r="N119" s="548"/>
      <c r="O119" s="548"/>
      <c r="P119" s="548"/>
      <c r="Q119" s="548"/>
      <c r="R119" s="548"/>
      <c r="S119" s="548"/>
      <c r="T119" s="548"/>
      <c r="U119" s="548"/>
      <c r="V119" s="548"/>
      <c r="W119" s="548"/>
      <c r="X119" s="548"/>
      <c r="Y119" s="548"/>
    </row>
    <row r="120" spans="1:25" ht="9.9499999999999993" customHeight="1" x14ac:dyDescent="0.25">
      <c r="A120" s="549">
        <f t="shared" si="9"/>
        <v>38</v>
      </c>
      <c r="B120" s="548"/>
      <c r="C120" s="548"/>
      <c r="D120" s="548"/>
      <c r="E120" s="548"/>
      <c r="F120" s="548"/>
      <c r="G120" s="548"/>
      <c r="H120" s="548"/>
      <c r="I120" s="548"/>
      <c r="J120" s="548"/>
      <c r="K120" s="548"/>
      <c r="L120" s="548"/>
      <c r="M120" s="548"/>
      <c r="N120" s="548"/>
      <c r="O120" s="548"/>
      <c r="P120" s="548"/>
      <c r="Q120" s="548"/>
      <c r="R120" s="548"/>
      <c r="S120" s="548"/>
      <c r="T120" s="548"/>
      <c r="U120" s="548"/>
      <c r="V120" s="548"/>
      <c r="W120" s="548"/>
      <c r="X120" s="548"/>
      <c r="Y120" s="548"/>
    </row>
    <row r="121" spans="1:25" s="27" customFormat="1" ht="20.100000000000001" customHeight="1" x14ac:dyDescent="0.25">
      <c r="A121" s="550"/>
      <c r="B121" s="548"/>
      <c r="C121" s="548"/>
      <c r="D121" s="548"/>
      <c r="E121" s="548"/>
      <c r="F121" s="548"/>
      <c r="G121" s="548"/>
      <c r="H121" s="548"/>
      <c r="I121" s="548"/>
      <c r="J121" s="548"/>
      <c r="K121" s="548"/>
      <c r="L121" s="548"/>
      <c r="M121" s="548"/>
      <c r="N121" s="548"/>
      <c r="O121" s="548"/>
      <c r="P121" s="548"/>
      <c r="Q121" s="548"/>
      <c r="R121" s="548"/>
      <c r="S121" s="548"/>
      <c r="T121" s="548"/>
      <c r="U121" s="548"/>
      <c r="V121" s="548"/>
      <c r="W121" s="548"/>
      <c r="X121" s="548"/>
      <c r="Y121" s="548"/>
    </row>
    <row r="122" spans="1:25" ht="9.9499999999999993" customHeight="1" x14ac:dyDescent="0.25">
      <c r="A122" s="551"/>
      <c r="B122" s="548"/>
      <c r="C122" s="548"/>
      <c r="D122" s="548"/>
      <c r="E122" s="548"/>
      <c r="F122" s="548"/>
      <c r="G122" s="548"/>
      <c r="H122" s="548"/>
      <c r="I122" s="548"/>
      <c r="J122" s="548"/>
      <c r="K122" s="548"/>
      <c r="L122" s="548"/>
      <c r="M122" s="548"/>
      <c r="N122" s="548"/>
      <c r="O122" s="548"/>
      <c r="P122" s="548"/>
      <c r="Q122" s="548"/>
      <c r="R122" s="548"/>
      <c r="S122" s="548"/>
      <c r="T122" s="548"/>
      <c r="U122" s="548"/>
      <c r="V122" s="548"/>
      <c r="W122" s="548"/>
      <c r="X122" s="548"/>
      <c r="Y122" s="548"/>
    </row>
    <row r="123" spans="1:25" ht="9.9499999999999993" customHeight="1" x14ac:dyDescent="0.25">
      <c r="A123" s="549">
        <f t="shared" si="9"/>
        <v>39</v>
      </c>
      <c r="B123" s="548"/>
      <c r="C123" s="548"/>
      <c r="D123" s="548"/>
      <c r="E123" s="548"/>
      <c r="F123" s="548"/>
      <c r="G123" s="548"/>
      <c r="H123" s="548"/>
      <c r="I123" s="548"/>
      <c r="J123" s="548"/>
      <c r="K123" s="548"/>
      <c r="L123" s="548"/>
      <c r="M123" s="548"/>
      <c r="N123" s="548"/>
      <c r="O123" s="548"/>
      <c r="P123" s="548"/>
      <c r="Q123" s="548"/>
      <c r="R123" s="548"/>
      <c r="S123" s="548"/>
      <c r="T123" s="548"/>
      <c r="U123" s="548"/>
      <c r="V123" s="548"/>
      <c r="W123" s="548"/>
      <c r="X123" s="548"/>
      <c r="Y123" s="548"/>
    </row>
    <row r="124" spans="1:25" s="27" customFormat="1" ht="20.100000000000001" customHeight="1" x14ac:dyDescent="0.25">
      <c r="A124" s="550"/>
      <c r="B124" s="548"/>
      <c r="C124" s="548"/>
      <c r="D124" s="548"/>
      <c r="E124" s="548"/>
      <c r="F124" s="548"/>
      <c r="G124" s="548"/>
      <c r="H124" s="548"/>
      <c r="I124" s="548"/>
      <c r="J124" s="548"/>
      <c r="K124" s="548"/>
      <c r="L124" s="548"/>
      <c r="M124" s="548"/>
      <c r="N124" s="548"/>
      <c r="O124" s="548"/>
      <c r="P124" s="548"/>
      <c r="Q124" s="548"/>
      <c r="R124" s="548"/>
      <c r="S124" s="548"/>
      <c r="T124" s="548"/>
      <c r="U124" s="548"/>
      <c r="V124" s="548"/>
      <c r="W124" s="548"/>
      <c r="X124" s="548"/>
      <c r="Y124" s="548"/>
    </row>
    <row r="125" spans="1:25" ht="9.9499999999999993" customHeight="1" x14ac:dyDescent="0.25">
      <c r="A125" s="551"/>
      <c r="B125" s="548"/>
      <c r="C125" s="548"/>
      <c r="D125" s="548"/>
      <c r="E125" s="548"/>
      <c r="F125" s="548"/>
      <c r="G125" s="548"/>
      <c r="H125" s="548"/>
      <c r="I125" s="548"/>
      <c r="J125" s="548"/>
      <c r="K125" s="548"/>
      <c r="L125" s="548"/>
      <c r="M125" s="548"/>
      <c r="N125" s="548"/>
      <c r="O125" s="548"/>
      <c r="P125" s="548"/>
      <c r="Q125" s="548"/>
      <c r="R125" s="548"/>
      <c r="S125" s="548"/>
      <c r="T125" s="548"/>
      <c r="U125" s="548"/>
      <c r="V125" s="548"/>
      <c r="W125" s="548"/>
      <c r="X125" s="548"/>
      <c r="Y125" s="548"/>
    </row>
    <row r="126" spans="1:25" ht="9.9499999999999993" customHeight="1" x14ac:dyDescent="0.25">
      <c r="A126" s="549">
        <f t="shared" si="9"/>
        <v>40</v>
      </c>
      <c r="B126" s="548"/>
      <c r="C126" s="548"/>
      <c r="D126" s="548"/>
      <c r="E126" s="548"/>
      <c r="F126" s="548"/>
      <c r="G126" s="548"/>
      <c r="H126" s="548"/>
      <c r="I126" s="548"/>
      <c r="J126" s="548"/>
      <c r="K126" s="548"/>
      <c r="L126" s="548"/>
      <c r="M126" s="548"/>
      <c r="N126" s="548"/>
      <c r="O126" s="548"/>
      <c r="P126" s="548"/>
      <c r="Q126" s="548"/>
      <c r="R126" s="548"/>
      <c r="S126" s="548"/>
      <c r="T126" s="548"/>
      <c r="U126" s="548"/>
      <c r="V126" s="548"/>
      <c r="W126" s="548"/>
      <c r="X126" s="548"/>
      <c r="Y126" s="548"/>
    </row>
    <row r="127" spans="1:25" s="27" customFormat="1" ht="20.100000000000001" customHeight="1" x14ac:dyDescent="0.25">
      <c r="A127" s="550"/>
      <c r="B127" s="548"/>
      <c r="C127" s="548"/>
      <c r="D127" s="548"/>
      <c r="E127" s="548"/>
      <c r="F127" s="548"/>
      <c r="G127" s="548"/>
      <c r="H127" s="548"/>
      <c r="I127" s="548"/>
      <c r="J127" s="548"/>
      <c r="K127" s="548"/>
      <c r="L127" s="548"/>
      <c r="M127" s="548"/>
      <c r="N127" s="548"/>
      <c r="O127" s="548"/>
      <c r="P127" s="548"/>
      <c r="Q127" s="548"/>
      <c r="R127" s="548"/>
      <c r="S127" s="548"/>
      <c r="T127" s="548"/>
      <c r="U127" s="548"/>
      <c r="V127" s="548"/>
      <c r="W127" s="548"/>
      <c r="X127" s="548"/>
      <c r="Y127" s="548"/>
    </row>
    <row r="128" spans="1:25" ht="9.9499999999999993" customHeight="1" x14ac:dyDescent="0.25">
      <c r="A128" s="551"/>
      <c r="B128" s="548"/>
      <c r="C128" s="548"/>
      <c r="D128" s="548"/>
      <c r="E128" s="548"/>
      <c r="F128" s="548"/>
      <c r="G128" s="548"/>
      <c r="H128" s="548"/>
      <c r="I128" s="548"/>
      <c r="J128" s="548"/>
      <c r="K128" s="548"/>
      <c r="L128" s="548"/>
      <c r="M128" s="548"/>
      <c r="N128" s="548"/>
      <c r="O128" s="548"/>
      <c r="P128" s="548"/>
      <c r="Q128" s="548"/>
      <c r="R128" s="548"/>
      <c r="S128" s="548"/>
      <c r="T128" s="548"/>
      <c r="U128" s="548"/>
      <c r="V128" s="548"/>
      <c r="W128" s="548"/>
      <c r="X128" s="548"/>
      <c r="Y128" s="548"/>
    </row>
  </sheetData>
  <mergeCells count="386">
    <mergeCell ref="A1:O1"/>
    <mergeCell ref="Q1:Y2"/>
    <mergeCell ref="A2:O2"/>
    <mergeCell ref="A4:B4"/>
    <mergeCell ref="C4:K4"/>
    <mergeCell ref="M4:P4"/>
    <mergeCell ref="Q4:R4"/>
    <mergeCell ref="S4:T4"/>
    <mergeCell ref="U4:V4"/>
    <mergeCell ref="W4:Y4"/>
    <mergeCell ref="A15:A17"/>
    <mergeCell ref="B15:B17"/>
    <mergeCell ref="A18:A20"/>
    <mergeCell ref="B18:B20"/>
    <mergeCell ref="A9:A11"/>
    <mergeCell ref="B9:B11"/>
    <mergeCell ref="A12:A14"/>
    <mergeCell ref="B12:B14"/>
    <mergeCell ref="W5:Y5"/>
    <mergeCell ref="A7:A8"/>
    <mergeCell ref="B7:B8"/>
    <mergeCell ref="A5:B5"/>
    <mergeCell ref="C5:K5"/>
    <mergeCell ref="M5:P5"/>
    <mergeCell ref="Q5:R5"/>
    <mergeCell ref="S5:T5"/>
    <mergeCell ref="U5:V5"/>
    <mergeCell ref="C7:C8"/>
    <mergeCell ref="D7:G8"/>
    <mergeCell ref="H7:H8"/>
    <mergeCell ref="I7:L8"/>
    <mergeCell ref="M7:N8"/>
    <mergeCell ref="O7:P8"/>
    <mergeCell ref="Q7:Y8"/>
    <mergeCell ref="A33:A35"/>
    <mergeCell ref="B33:B35"/>
    <mergeCell ref="A36:A38"/>
    <mergeCell ref="B36:B38"/>
    <mergeCell ref="A27:A29"/>
    <mergeCell ref="B27:B29"/>
    <mergeCell ref="A30:A32"/>
    <mergeCell ref="B30:B32"/>
    <mergeCell ref="A21:A23"/>
    <mergeCell ref="B21:B23"/>
    <mergeCell ref="A24:A26"/>
    <mergeCell ref="B24:B26"/>
    <mergeCell ref="A51:A53"/>
    <mergeCell ref="B51:B53"/>
    <mergeCell ref="A54:A56"/>
    <mergeCell ref="B54:B56"/>
    <mergeCell ref="A45:A47"/>
    <mergeCell ref="B45:B47"/>
    <mergeCell ref="A48:A50"/>
    <mergeCell ref="B48:B50"/>
    <mergeCell ref="A39:A41"/>
    <mergeCell ref="B39:B41"/>
    <mergeCell ref="A42:A44"/>
    <mergeCell ref="B42:B44"/>
    <mergeCell ref="A69:A71"/>
    <mergeCell ref="B69:B71"/>
    <mergeCell ref="A72:A74"/>
    <mergeCell ref="B72:B74"/>
    <mergeCell ref="A63:A65"/>
    <mergeCell ref="B63:B65"/>
    <mergeCell ref="A66:A68"/>
    <mergeCell ref="B66:B68"/>
    <mergeCell ref="A57:A59"/>
    <mergeCell ref="B57:B59"/>
    <mergeCell ref="A60:A62"/>
    <mergeCell ref="B60:B62"/>
    <mergeCell ref="B90:B92"/>
    <mergeCell ref="A81:A83"/>
    <mergeCell ref="B81:B83"/>
    <mergeCell ref="A84:A86"/>
    <mergeCell ref="B84:B86"/>
    <mergeCell ref="A75:A77"/>
    <mergeCell ref="B75:B77"/>
    <mergeCell ref="A78:A80"/>
    <mergeCell ref="B78:B80"/>
    <mergeCell ref="A87:A89"/>
    <mergeCell ref="B87:B89"/>
    <mergeCell ref="A90:A92"/>
    <mergeCell ref="A126:A128"/>
    <mergeCell ref="B126:B128"/>
    <mergeCell ref="A117:A119"/>
    <mergeCell ref="B117:B119"/>
    <mergeCell ref="A120:A122"/>
    <mergeCell ref="B120:B122"/>
    <mergeCell ref="A111:A113"/>
    <mergeCell ref="B111:B113"/>
    <mergeCell ref="A114:A116"/>
    <mergeCell ref="B114:B116"/>
    <mergeCell ref="A123:A125"/>
    <mergeCell ref="B123:B125"/>
    <mergeCell ref="A105:A107"/>
    <mergeCell ref="B105:B107"/>
    <mergeCell ref="A108:A110"/>
    <mergeCell ref="B108:B110"/>
    <mergeCell ref="A99:A101"/>
    <mergeCell ref="B99:B101"/>
    <mergeCell ref="A102:A104"/>
    <mergeCell ref="B102:B104"/>
    <mergeCell ref="A93:A95"/>
    <mergeCell ref="B93:B95"/>
    <mergeCell ref="A96:A98"/>
    <mergeCell ref="B96:B98"/>
    <mergeCell ref="Q9:Y11"/>
    <mergeCell ref="C12:C14"/>
    <mergeCell ref="D12:G14"/>
    <mergeCell ref="H12:H14"/>
    <mergeCell ref="I12:L14"/>
    <mergeCell ref="M12:N14"/>
    <mergeCell ref="O12:P14"/>
    <mergeCell ref="Q12:Y14"/>
    <mergeCell ref="D9:G11"/>
    <mergeCell ref="H9:H11"/>
    <mergeCell ref="C9:C11"/>
    <mergeCell ref="I9:L11"/>
    <mergeCell ref="M9:N11"/>
    <mergeCell ref="O9:P11"/>
    <mergeCell ref="Q15:Y17"/>
    <mergeCell ref="C18:C20"/>
    <mergeCell ref="D18:G20"/>
    <mergeCell ref="H18:H20"/>
    <mergeCell ref="I18:L20"/>
    <mergeCell ref="M18:N20"/>
    <mergeCell ref="O18:P20"/>
    <mergeCell ref="Q18:Y20"/>
    <mergeCell ref="C15:C17"/>
    <mergeCell ref="D15:G17"/>
    <mergeCell ref="H15:H17"/>
    <mergeCell ref="I15:L17"/>
    <mergeCell ref="M15:N17"/>
    <mergeCell ref="O15:P17"/>
    <mergeCell ref="Q21:Y23"/>
    <mergeCell ref="C24:C26"/>
    <mergeCell ref="D24:G26"/>
    <mergeCell ref="H24:H26"/>
    <mergeCell ref="I24:L26"/>
    <mergeCell ref="M24:N26"/>
    <mergeCell ref="O24:P26"/>
    <mergeCell ref="Q24:Y26"/>
    <mergeCell ref="C21:C23"/>
    <mergeCell ref="D21:G23"/>
    <mergeCell ref="H21:H23"/>
    <mergeCell ref="I21:L23"/>
    <mergeCell ref="M21:N23"/>
    <mergeCell ref="O21:P23"/>
    <mergeCell ref="Q27:Y29"/>
    <mergeCell ref="C30:C32"/>
    <mergeCell ref="D30:G32"/>
    <mergeCell ref="H30:H32"/>
    <mergeCell ref="I30:L32"/>
    <mergeCell ref="M30:N32"/>
    <mergeCell ref="O30:P32"/>
    <mergeCell ref="Q30:Y32"/>
    <mergeCell ref="C27:C29"/>
    <mergeCell ref="D27:G29"/>
    <mergeCell ref="H27:H29"/>
    <mergeCell ref="I27:L29"/>
    <mergeCell ref="M27:N29"/>
    <mergeCell ref="O27:P29"/>
    <mergeCell ref="Q33:Y35"/>
    <mergeCell ref="C36:C38"/>
    <mergeCell ref="D36:G38"/>
    <mergeCell ref="H36:H38"/>
    <mergeCell ref="I36:L38"/>
    <mergeCell ref="M36:N38"/>
    <mergeCell ref="O36:P38"/>
    <mergeCell ref="Q36:Y38"/>
    <mergeCell ref="C33:C35"/>
    <mergeCell ref="D33:G35"/>
    <mergeCell ref="H33:H35"/>
    <mergeCell ref="I33:L35"/>
    <mergeCell ref="M33:N35"/>
    <mergeCell ref="O33:P35"/>
    <mergeCell ref="Q39:Y41"/>
    <mergeCell ref="C42:C44"/>
    <mergeCell ref="D42:G44"/>
    <mergeCell ref="H42:H44"/>
    <mergeCell ref="I42:L44"/>
    <mergeCell ref="M42:N44"/>
    <mergeCell ref="O42:P44"/>
    <mergeCell ref="Q42:Y44"/>
    <mergeCell ref="C39:C41"/>
    <mergeCell ref="D39:G41"/>
    <mergeCell ref="H39:H41"/>
    <mergeCell ref="I39:L41"/>
    <mergeCell ref="M39:N41"/>
    <mergeCell ref="O39:P41"/>
    <mergeCell ref="Q45:Y47"/>
    <mergeCell ref="C48:C50"/>
    <mergeCell ref="D48:G50"/>
    <mergeCell ref="H48:H50"/>
    <mergeCell ref="I48:L50"/>
    <mergeCell ref="M48:N50"/>
    <mergeCell ref="O48:P50"/>
    <mergeCell ref="Q48:Y50"/>
    <mergeCell ref="C45:C47"/>
    <mergeCell ref="D45:G47"/>
    <mergeCell ref="H45:H47"/>
    <mergeCell ref="I45:L47"/>
    <mergeCell ref="M45:N47"/>
    <mergeCell ref="O45:P47"/>
    <mergeCell ref="Q51:Y53"/>
    <mergeCell ref="C54:C56"/>
    <mergeCell ref="D54:G56"/>
    <mergeCell ref="H54:H56"/>
    <mergeCell ref="I54:L56"/>
    <mergeCell ref="M54:N56"/>
    <mergeCell ref="O54:P56"/>
    <mergeCell ref="Q54:Y56"/>
    <mergeCell ref="C51:C53"/>
    <mergeCell ref="D51:G53"/>
    <mergeCell ref="H51:H53"/>
    <mergeCell ref="I51:L53"/>
    <mergeCell ref="M51:N53"/>
    <mergeCell ref="O51:P53"/>
    <mergeCell ref="Q57:Y59"/>
    <mergeCell ref="C60:C62"/>
    <mergeCell ref="D60:G62"/>
    <mergeCell ref="H60:H62"/>
    <mergeCell ref="I60:L62"/>
    <mergeCell ref="M60:N62"/>
    <mergeCell ref="O60:P62"/>
    <mergeCell ref="Q60:Y62"/>
    <mergeCell ref="C57:C59"/>
    <mergeCell ref="D57:G59"/>
    <mergeCell ref="H57:H59"/>
    <mergeCell ref="I57:L59"/>
    <mergeCell ref="M57:N59"/>
    <mergeCell ref="O57:P59"/>
    <mergeCell ref="Q63:Y65"/>
    <mergeCell ref="C66:C68"/>
    <mergeCell ref="D66:G68"/>
    <mergeCell ref="H66:H68"/>
    <mergeCell ref="I66:L68"/>
    <mergeCell ref="M66:N68"/>
    <mergeCell ref="O66:P68"/>
    <mergeCell ref="Q66:Y68"/>
    <mergeCell ref="C63:C65"/>
    <mergeCell ref="D63:G65"/>
    <mergeCell ref="H63:H65"/>
    <mergeCell ref="I63:L65"/>
    <mergeCell ref="M63:N65"/>
    <mergeCell ref="O63:P65"/>
    <mergeCell ref="Q69:Y71"/>
    <mergeCell ref="C72:C74"/>
    <mergeCell ref="D72:G74"/>
    <mergeCell ref="H72:H74"/>
    <mergeCell ref="I72:L74"/>
    <mergeCell ref="M72:N74"/>
    <mergeCell ref="O72:P74"/>
    <mergeCell ref="Q72:Y74"/>
    <mergeCell ref="C69:C71"/>
    <mergeCell ref="D69:G71"/>
    <mergeCell ref="H69:H71"/>
    <mergeCell ref="I69:L71"/>
    <mergeCell ref="M69:N71"/>
    <mergeCell ref="O69:P71"/>
    <mergeCell ref="Q75:Y77"/>
    <mergeCell ref="C78:C80"/>
    <mergeCell ref="D78:G80"/>
    <mergeCell ref="H78:H80"/>
    <mergeCell ref="I78:L80"/>
    <mergeCell ref="M78:N80"/>
    <mergeCell ref="O78:P80"/>
    <mergeCell ref="Q78:Y80"/>
    <mergeCell ref="C75:C77"/>
    <mergeCell ref="D75:G77"/>
    <mergeCell ref="H75:H77"/>
    <mergeCell ref="I75:L77"/>
    <mergeCell ref="M75:N77"/>
    <mergeCell ref="O75:P77"/>
    <mergeCell ref="Q81:Y83"/>
    <mergeCell ref="C84:C86"/>
    <mergeCell ref="D84:G86"/>
    <mergeCell ref="H84:H86"/>
    <mergeCell ref="I84:L86"/>
    <mergeCell ref="M84:N86"/>
    <mergeCell ref="O84:P86"/>
    <mergeCell ref="Q84:Y86"/>
    <mergeCell ref="C81:C83"/>
    <mergeCell ref="D81:G83"/>
    <mergeCell ref="H81:H83"/>
    <mergeCell ref="I81:L83"/>
    <mergeCell ref="M81:N83"/>
    <mergeCell ref="O81:P83"/>
    <mergeCell ref="Q87:Y89"/>
    <mergeCell ref="C90:C92"/>
    <mergeCell ref="D90:G92"/>
    <mergeCell ref="H90:H92"/>
    <mergeCell ref="I90:L92"/>
    <mergeCell ref="M90:N92"/>
    <mergeCell ref="O90:P92"/>
    <mergeCell ref="Q90:Y92"/>
    <mergeCell ref="C87:C89"/>
    <mergeCell ref="D87:G89"/>
    <mergeCell ref="H87:H89"/>
    <mergeCell ref="I87:L89"/>
    <mergeCell ref="M87:N89"/>
    <mergeCell ref="O87:P89"/>
    <mergeCell ref="Q93:Y95"/>
    <mergeCell ref="C96:C98"/>
    <mergeCell ref="D96:G98"/>
    <mergeCell ref="H96:H98"/>
    <mergeCell ref="I96:L98"/>
    <mergeCell ref="M96:N98"/>
    <mergeCell ref="O96:P98"/>
    <mergeCell ref="Q96:Y98"/>
    <mergeCell ref="C93:C95"/>
    <mergeCell ref="D93:G95"/>
    <mergeCell ref="H93:H95"/>
    <mergeCell ref="I93:L95"/>
    <mergeCell ref="M93:N95"/>
    <mergeCell ref="O93:P95"/>
    <mergeCell ref="Q99:Y101"/>
    <mergeCell ref="C102:C104"/>
    <mergeCell ref="D102:G104"/>
    <mergeCell ref="H102:H104"/>
    <mergeCell ref="I102:L104"/>
    <mergeCell ref="M102:N104"/>
    <mergeCell ref="O102:P104"/>
    <mergeCell ref="Q102:Y104"/>
    <mergeCell ref="C99:C101"/>
    <mergeCell ref="D99:G101"/>
    <mergeCell ref="H99:H101"/>
    <mergeCell ref="I99:L101"/>
    <mergeCell ref="M99:N101"/>
    <mergeCell ref="O99:P101"/>
    <mergeCell ref="Q105:Y107"/>
    <mergeCell ref="C108:C110"/>
    <mergeCell ref="D108:G110"/>
    <mergeCell ref="H108:H110"/>
    <mergeCell ref="I108:L110"/>
    <mergeCell ref="M108:N110"/>
    <mergeCell ref="O108:P110"/>
    <mergeCell ref="Q108:Y110"/>
    <mergeCell ref="C105:C107"/>
    <mergeCell ref="D105:G107"/>
    <mergeCell ref="H105:H107"/>
    <mergeCell ref="I105:L107"/>
    <mergeCell ref="M105:N107"/>
    <mergeCell ref="O105:P107"/>
    <mergeCell ref="Q111:Y113"/>
    <mergeCell ref="C114:C116"/>
    <mergeCell ref="D114:G116"/>
    <mergeCell ref="H114:H116"/>
    <mergeCell ref="I114:L116"/>
    <mergeCell ref="M114:N116"/>
    <mergeCell ref="O114:P116"/>
    <mergeCell ref="Q114:Y116"/>
    <mergeCell ref="C111:C113"/>
    <mergeCell ref="D111:G113"/>
    <mergeCell ref="H111:H113"/>
    <mergeCell ref="I111:L113"/>
    <mergeCell ref="M111:N113"/>
    <mergeCell ref="O111:P113"/>
    <mergeCell ref="Q117:Y119"/>
    <mergeCell ref="C120:C122"/>
    <mergeCell ref="D120:G122"/>
    <mergeCell ref="H120:H122"/>
    <mergeCell ref="I120:L122"/>
    <mergeCell ref="M120:N122"/>
    <mergeCell ref="O120:P122"/>
    <mergeCell ref="Q120:Y122"/>
    <mergeCell ref="C117:C119"/>
    <mergeCell ref="D117:G119"/>
    <mergeCell ref="H117:H119"/>
    <mergeCell ref="I117:L119"/>
    <mergeCell ref="M117:N119"/>
    <mergeCell ref="O117:P119"/>
    <mergeCell ref="Q123:Y125"/>
    <mergeCell ref="C126:C128"/>
    <mergeCell ref="D126:G128"/>
    <mergeCell ref="H126:H128"/>
    <mergeCell ref="I126:L128"/>
    <mergeCell ref="M126:N128"/>
    <mergeCell ref="O126:P128"/>
    <mergeCell ref="Q126:Y128"/>
    <mergeCell ref="C123:C125"/>
    <mergeCell ref="D123:G125"/>
    <mergeCell ref="H123:H125"/>
    <mergeCell ref="I123:L125"/>
    <mergeCell ref="M123:N125"/>
    <mergeCell ref="O123:P125"/>
  </mergeCells>
  <pageMargins left="0.39370078740157483" right="0.39370078740157483" top="0.39370078740157483" bottom="0.78740157480314965" header="0" footer="0.39370078740157483"/>
  <pageSetup paperSize="9" orientation="landscape" horizontalDpi="300" r:id="rId1"/>
  <headerFooter>
    <oddFooter>Страница  &amp;P из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"/>
  <sheetViews>
    <sheetView view="pageBreakPreview" topLeftCell="A4" zoomScaleNormal="85" zoomScaleSheetLayoutView="100" workbookViewId="0">
      <selection activeCell="G14" sqref="G14"/>
    </sheetView>
  </sheetViews>
  <sheetFormatPr defaultRowHeight="15" x14ac:dyDescent="0.25"/>
  <cols>
    <col min="1" max="2" width="9.7109375" style="12" customWidth="1"/>
    <col min="3" max="3" width="6.7109375" style="12" customWidth="1"/>
    <col min="4" max="10" width="9.7109375" style="12" customWidth="1"/>
    <col min="11" max="11" width="9.140625" style="12"/>
    <col min="12" max="12" width="9.5703125" style="12" bestFit="1" customWidth="1"/>
    <col min="13" max="248" width="9.140625" style="12"/>
    <col min="249" max="249" width="18.5703125" style="12" customWidth="1"/>
    <col min="250" max="504" width="9.140625" style="12"/>
    <col min="505" max="505" width="18.5703125" style="12" customWidth="1"/>
    <col min="506" max="760" width="9.140625" style="12"/>
    <col min="761" max="761" width="18.5703125" style="12" customWidth="1"/>
    <col min="762" max="1016" width="9.140625" style="12"/>
    <col min="1017" max="1017" width="18.5703125" style="12" customWidth="1"/>
    <col min="1018" max="1272" width="9.140625" style="12"/>
    <col min="1273" max="1273" width="18.5703125" style="12" customWidth="1"/>
    <col min="1274" max="1528" width="9.140625" style="12"/>
    <col min="1529" max="1529" width="18.5703125" style="12" customWidth="1"/>
    <col min="1530" max="1784" width="9.140625" style="12"/>
    <col min="1785" max="1785" width="18.5703125" style="12" customWidth="1"/>
    <col min="1786" max="2040" width="9.140625" style="12"/>
    <col min="2041" max="2041" width="18.5703125" style="12" customWidth="1"/>
    <col min="2042" max="2296" width="9.140625" style="12"/>
    <col min="2297" max="2297" width="18.5703125" style="12" customWidth="1"/>
    <col min="2298" max="2552" width="9.140625" style="12"/>
    <col min="2553" max="2553" width="18.5703125" style="12" customWidth="1"/>
    <col min="2554" max="2808" width="9.140625" style="12"/>
    <col min="2809" max="2809" width="18.5703125" style="12" customWidth="1"/>
    <col min="2810" max="3064" width="9.140625" style="12"/>
    <col min="3065" max="3065" width="18.5703125" style="12" customWidth="1"/>
    <col min="3066" max="3320" width="9.140625" style="12"/>
    <col min="3321" max="3321" width="18.5703125" style="12" customWidth="1"/>
    <col min="3322" max="3576" width="9.140625" style="12"/>
    <col min="3577" max="3577" width="18.5703125" style="12" customWidth="1"/>
    <col min="3578" max="3832" width="9.140625" style="12"/>
    <col min="3833" max="3833" width="18.5703125" style="12" customWidth="1"/>
    <col min="3834" max="4088" width="9.140625" style="12"/>
    <col min="4089" max="4089" width="18.5703125" style="12" customWidth="1"/>
    <col min="4090" max="4344" width="9.140625" style="12"/>
    <col min="4345" max="4345" width="18.5703125" style="12" customWidth="1"/>
    <col min="4346" max="4600" width="9.140625" style="12"/>
    <col min="4601" max="4601" width="18.5703125" style="12" customWidth="1"/>
    <col min="4602" max="4856" width="9.140625" style="12"/>
    <col min="4857" max="4857" width="18.5703125" style="12" customWidth="1"/>
    <col min="4858" max="5112" width="9.140625" style="12"/>
    <col min="5113" max="5113" width="18.5703125" style="12" customWidth="1"/>
    <col min="5114" max="5368" width="9.140625" style="12"/>
    <col min="5369" max="5369" width="18.5703125" style="12" customWidth="1"/>
    <col min="5370" max="5624" width="9.140625" style="12"/>
    <col min="5625" max="5625" width="18.5703125" style="12" customWidth="1"/>
    <col min="5626" max="5880" width="9.140625" style="12"/>
    <col min="5881" max="5881" width="18.5703125" style="12" customWidth="1"/>
    <col min="5882" max="6136" width="9.140625" style="12"/>
    <col min="6137" max="6137" width="18.5703125" style="12" customWidth="1"/>
    <col min="6138" max="6392" width="9.140625" style="12"/>
    <col min="6393" max="6393" width="18.5703125" style="12" customWidth="1"/>
    <col min="6394" max="6648" width="9.140625" style="12"/>
    <col min="6649" max="6649" width="18.5703125" style="12" customWidth="1"/>
    <col min="6650" max="6904" width="9.140625" style="12"/>
    <col min="6905" max="6905" width="18.5703125" style="12" customWidth="1"/>
    <col min="6906" max="7160" width="9.140625" style="12"/>
    <col min="7161" max="7161" width="18.5703125" style="12" customWidth="1"/>
    <col min="7162" max="7416" width="9.140625" style="12"/>
    <col min="7417" max="7417" width="18.5703125" style="12" customWidth="1"/>
    <col min="7418" max="7672" width="9.140625" style="12"/>
    <col min="7673" max="7673" width="18.5703125" style="12" customWidth="1"/>
    <col min="7674" max="7928" width="9.140625" style="12"/>
    <col min="7929" max="7929" width="18.5703125" style="12" customWidth="1"/>
    <col min="7930" max="8184" width="9.140625" style="12"/>
    <col min="8185" max="8185" width="18.5703125" style="12" customWidth="1"/>
    <col min="8186" max="8440" width="9.140625" style="12"/>
    <col min="8441" max="8441" width="18.5703125" style="12" customWidth="1"/>
    <col min="8442" max="8696" width="9.140625" style="12"/>
    <col min="8697" max="8697" width="18.5703125" style="12" customWidth="1"/>
    <col min="8698" max="8952" width="9.140625" style="12"/>
    <col min="8953" max="8953" width="18.5703125" style="12" customWidth="1"/>
    <col min="8954" max="9208" width="9.140625" style="12"/>
    <col min="9209" max="9209" width="18.5703125" style="12" customWidth="1"/>
    <col min="9210" max="9464" width="9.140625" style="12"/>
    <col min="9465" max="9465" width="18.5703125" style="12" customWidth="1"/>
    <col min="9466" max="9720" width="9.140625" style="12"/>
    <col min="9721" max="9721" width="18.5703125" style="12" customWidth="1"/>
    <col min="9722" max="9976" width="9.140625" style="12"/>
    <col min="9977" max="9977" width="18.5703125" style="12" customWidth="1"/>
    <col min="9978" max="10232" width="9.140625" style="12"/>
    <col min="10233" max="10233" width="18.5703125" style="12" customWidth="1"/>
    <col min="10234" max="10488" width="9.140625" style="12"/>
    <col min="10489" max="10489" width="18.5703125" style="12" customWidth="1"/>
    <col min="10490" max="10744" width="9.140625" style="12"/>
    <col min="10745" max="10745" width="18.5703125" style="12" customWidth="1"/>
    <col min="10746" max="11000" width="9.140625" style="12"/>
    <col min="11001" max="11001" width="18.5703125" style="12" customWidth="1"/>
    <col min="11002" max="11256" width="9.140625" style="12"/>
    <col min="11257" max="11257" width="18.5703125" style="12" customWidth="1"/>
    <col min="11258" max="11512" width="9.140625" style="12"/>
    <col min="11513" max="11513" width="18.5703125" style="12" customWidth="1"/>
    <col min="11514" max="11768" width="9.140625" style="12"/>
    <col min="11769" max="11769" width="18.5703125" style="12" customWidth="1"/>
    <col min="11770" max="12024" width="9.140625" style="12"/>
    <col min="12025" max="12025" width="18.5703125" style="12" customWidth="1"/>
    <col min="12026" max="12280" width="9.140625" style="12"/>
    <col min="12281" max="12281" width="18.5703125" style="12" customWidth="1"/>
    <col min="12282" max="12536" width="9.140625" style="12"/>
    <col min="12537" max="12537" width="18.5703125" style="12" customWidth="1"/>
    <col min="12538" max="12792" width="9.140625" style="12"/>
    <col min="12793" max="12793" width="18.5703125" style="12" customWidth="1"/>
    <col min="12794" max="13048" width="9.140625" style="12"/>
    <col min="13049" max="13049" width="18.5703125" style="12" customWidth="1"/>
    <col min="13050" max="13304" width="9.140625" style="12"/>
    <col min="13305" max="13305" width="18.5703125" style="12" customWidth="1"/>
    <col min="13306" max="13560" width="9.140625" style="12"/>
    <col min="13561" max="13561" width="18.5703125" style="12" customWidth="1"/>
    <col min="13562" max="13816" width="9.140625" style="12"/>
    <col min="13817" max="13817" width="18.5703125" style="12" customWidth="1"/>
    <col min="13818" max="14072" width="9.140625" style="12"/>
    <col min="14073" max="14073" width="18.5703125" style="12" customWidth="1"/>
    <col min="14074" max="14328" width="9.140625" style="12"/>
    <col min="14329" max="14329" width="18.5703125" style="12" customWidth="1"/>
    <col min="14330" max="14584" width="9.140625" style="12"/>
    <col min="14585" max="14585" width="18.5703125" style="12" customWidth="1"/>
    <col min="14586" max="14840" width="9.140625" style="12"/>
    <col min="14841" max="14841" width="18.5703125" style="12" customWidth="1"/>
    <col min="14842" max="15096" width="9.140625" style="12"/>
    <col min="15097" max="15097" width="18.5703125" style="12" customWidth="1"/>
    <col min="15098" max="15352" width="9.140625" style="12"/>
    <col min="15353" max="15353" width="18.5703125" style="12" customWidth="1"/>
    <col min="15354" max="15608" width="9.140625" style="12"/>
    <col min="15609" max="15609" width="18.5703125" style="12" customWidth="1"/>
    <col min="15610" max="15864" width="9.140625" style="12"/>
    <col min="15865" max="15865" width="18.5703125" style="12" customWidth="1"/>
    <col min="15866" max="16120" width="9.140625" style="12"/>
    <col min="16121" max="16121" width="18.5703125" style="12" customWidth="1"/>
    <col min="16122" max="16384" width="9.140625" style="12"/>
  </cols>
  <sheetData>
    <row r="1" spans="1:12" ht="21" x14ac:dyDescent="0.25">
      <c r="A1" s="19"/>
      <c r="B1" s="19"/>
      <c r="C1" s="416" t="str">
        <f>НазваниеПолное</f>
        <v>Ралли "Skoda Rally Weekend - 2017"</v>
      </c>
      <c r="D1" s="416"/>
      <c r="E1" s="416"/>
      <c r="F1" s="416"/>
      <c r="G1" s="416"/>
      <c r="H1" s="416"/>
      <c r="I1" s="19"/>
      <c r="J1" s="19"/>
    </row>
    <row r="2" spans="1:12" ht="21" x14ac:dyDescent="0.25">
      <c r="A2" s="19"/>
      <c r="B2" s="19"/>
      <c r="C2" s="416" t="s">
        <v>162</v>
      </c>
      <c r="D2" s="416"/>
      <c r="E2" s="416"/>
      <c r="F2" s="416"/>
      <c r="G2" s="416"/>
      <c r="H2" s="416"/>
      <c r="I2" s="19"/>
      <c r="J2" s="19"/>
    </row>
    <row r="3" spans="1:12" ht="5.0999999999999996" customHeight="1" x14ac:dyDescent="0.25">
      <c r="A3" s="29"/>
      <c r="B3" s="29"/>
      <c r="C3" s="29"/>
      <c r="D3" s="30"/>
      <c r="E3" s="30"/>
      <c r="F3" s="30"/>
      <c r="G3" s="30"/>
      <c r="H3" s="29"/>
      <c r="I3" s="30"/>
      <c r="J3" s="29"/>
    </row>
    <row r="4" spans="1:12" ht="18.75" customHeight="1" x14ac:dyDescent="0.25">
      <c r="A4" s="406" t="s">
        <v>29</v>
      </c>
      <c r="B4" s="407"/>
      <c r="C4" s="407"/>
      <c r="D4" s="417" t="s">
        <v>30</v>
      </c>
      <c r="E4" s="417"/>
      <c r="F4" s="417"/>
      <c r="G4" s="417"/>
      <c r="H4" s="417" t="s">
        <v>91</v>
      </c>
      <c r="I4" s="417"/>
      <c r="J4" s="418"/>
    </row>
    <row r="5" spans="1:12" ht="177" customHeight="1" x14ac:dyDescent="0.25">
      <c r="A5" s="406"/>
      <c r="B5" s="407"/>
      <c r="C5" s="407"/>
      <c r="D5" s="107" t="s">
        <v>33</v>
      </c>
      <c r="E5" s="107" t="s">
        <v>31</v>
      </c>
      <c r="F5" s="107" t="s">
        <v>32</v>
      </c>
      <c r="G5" s="107" t="s">
        <v>34</v>
      </c>
      <c r="H5" s="107" t="s">
        <v>36</v>
      </c>
      <c r="I5" s="107" t="s">
        <v>35</v>
      </c>
      <c r="J5" s="108" t="s">
        <v>32</v>
      </c>
      <c r="K5" s="13"/>
    </row>
    <row r="6" spans="1:12" ht="18.75" x14ac:dyDescent="0.25">
      <c r="A6" s="411" t="s">
        <v>15</v>
      </c>
      <c r="B6" s="412"/>
      <c r="C6" s="413"/>
      <c r="D6" s="109"/>
      <c r="E6" s="110"/>
      <c r="F6" s="111"/>
      <c r="G6" s="112"/>
      <c r="H6" s="109"/>
      <c r="I6" s="110"/>
      <c r="J6" s="127"/>
    </row>
    <row r="7" spans="1:12" ht="18.75" customHeight="1" x14ac:dyDescent="0.25">
      <c r="A7" s="408" t="s">
        <v>286</v>
      </c>
      <c r="B7" s="409"/>
      <c r="C7" s="410"/>
      <c r="D7" s="45"/>
      <c r="E7" s="46"/>
      <c r="F7" s="20"/>
      <c r="G7" s="21">
        <f>ВремяСтарта</f>
        <v>0.50069444444444444</v>
      </c>
      <c r="H7" s="45"/>
      <c r="I7" s="46"/>
      <c r="J7" s="128"/>
    </row>
    <row r="8" spans="1:12" ht="18.75" x14ac:dyDescent="0.25">
      <c r="A8" s="408" t="s">
        <v>331</v>
      </c>
      <c r="B8" s="409"/>
      <c r="C8" s="410"/>
      <c r="D8" s="45"/>
      <c r="E8" s="46"/>
      <c r="F8" s="20"/>
      <c r="G8" s="22"/>
      <c r="H8" s="45"/>
      <c r="I8" s="414" t="s">
        <v>92</v>
      </c>
      <c r="J8" s="415"/>
    </row>
    <row r="9" spans="1:12" ht="18.75" x14ac:dyDescent="0.25">
      <c r="A9" s="408" t="s">
        <v>307</v>
      </c>
      <c r="B9" s="409"/>
      <c r="C9" s="410"/>
      <c r="D9" s="287">
        <f>'Сектор 0-1 Про ч3'!B14</f>
        <v>38.92</v>
      </c>
      <c r="E9" s="288">
        <v>60</v>
      </c>
      <c r="F9" s="20">
        <f>ROUND(D9/(E9/60),2)</f>
        <v>38.92</v>
      </c>
      <c r="G9" s="21">
        <f>G7+E9/1440</f>
        <v>0.54236111111111107</v>
      </c>
      <c r="H9" s="45"/>
      <c r="I9" s="46"/>
      <c r="J9" s="128"/>
    </row>
    <row r="10" spans="1:12" ht="18.75" x14ac:dyDescent="0.25">
      <c r="A10" s="408" t="s">
        <v>332</v>
      </c>
      <c r="B10" s="409"/>
      <c r="C10" s="410"/>
      <c r="D10" s="287"/>
      <c r="E10" s="288"/>
      <c r="F10" s="20"/>
      <c r="G10" s="22"/>
      <c r="H10" s="287">
        <f>'Сектор 1-2 Про'!B13-'Сектор 1-2 Про'!B5</f>
        <v>11.94</v>
      </c>
      <c r="I10" s="419" t="s">
        <v>302</v>
      </c>
      <c r="J10" s="420"/>
      <c r="K10" s="12" t="s">
        <v>218</v>
      </c>
      <c r="L10" s="12">
        <v>478</v>
      </c>
    </row>
    <row r="11" spans="1:12" ht="18.75" x14ac:dyDescent="0.25">
      <c r="A11" s="408" t="s">
        <v>308</v>
      </c>
      <c r="B11" s="409"/>
      <c r="C11" s="410"/>
      <c r="D11" s="287">
        <f>'Сектор 1-2 Про'!B14</f>
        <v>15.28</v>
      </c>
      <c r="E11" s="288">
        <v>25</v>
      </c>
      <c r="F11" s="20">
        <f>ROUND(D11/(E11/60),2)</f>
        <v>36.67</v>
      </c>
      <c r="G11" s="21">
        <f>G9+E11/1440</f>
        <v>0.55972222222222223</v>
      </c>
      <c r="H11" s="45"/>
      <c r="I11" s="46"/>
      <c r="J11" s="128"/>
    </row>
    <row r="12" spans="1:12" ht="18.75" x14ac:dyDescent="0.25">
      <c r="A12" s="408" t="s">
        <v>309</v>
      </c>
      <c r="B12" s="409"/>
      <c r="C12" s="410"/>
      <c r="D12" s="287">
        <f>'Сектор 2-3 Про'!B15</f>
        <v>3.41</v>
      </c>
      <c r="E12" s="288">
        <v>7</v>
      </c>
      <c r="F12" s="20">
        <f>ROUND(D12/(E12/60),2)</f>
        <v>29.23</v>
      </c>
      <c r="G12" s="21">
        <f>G11+E12/1440</f>
        <v>0.56458333333333333</v>
      </c>
      <c r="H12" s="45"/>
      <c r="I12" s="46"/>
      <c r="J12" s="128"/>
    </row>
    <row r="13" spans="1:12" ht="18.75" x14ac:dyDescent="0.25">
      <c r="A13" s="408" t="s">
        <v>333</v>
      </c>
      <c r="B13" s="409"/>
      <c r="C13" s="410"/>
      <c r="D13" s="287"/>
      <c r="E13" s="288"/>
      <c r="F13" s="20"/>
      <c r="G13" s="22"/>
      <c r="H13" s="45"/>
      <c r="I13" s="414" t="s">
        <v>92</v>
      </c>
      <c r="J13" s="415"/>
    </row>
    <row r="14" spans="1:12" ht="18.75" x14ac:dyDescent="0.25">
      <c r="A14" s="408" t="s">
        <v>303</v>
      </c>
      <c r="B14" s="409"/>
      <c r="C14" s="410"/>
      <c r="D14" s="287">
        <f>'Сектор 3-4 Про'!B27</f>
        <v>62.34</v>
      </c>
      <c r="E14" s="288">
        <v>70</v>
      </c>
      <c r="F14" s="20">
        <f>ROUND(D14/(E14/60),2)</f>
        <v>53.43</v>
      </c>
      <c r="G14" s="22">
        <f>G12+E14/1440</f>
        <v>0.61319444444444449</v>
      </c>
      <c r="H14" s="45"/>
      <c r="I14" s="46"/>
      <c r="J14" s="128"/>
    </row>
    <row r="15" spans="1:12" ht="18.75" x14ac:dyDescent="0.25">
      <c r="A15" s="408" t="s">
        <v>334</v>
      </c>
      <c r="B15" s="409"/>
      <c r="C15" s="410"/>
      <c r="D15" s="45"/>
      <c r="E15" s="46"/>
      <c r="F15" s="20"/>
      <c r="G15" s="22"/>
      <c r="H15" s="45"/>
      <c r="I15" s="48"/>
      <c r="J15" s="128"/>
    </row>
    <row r="16" spans="1:12" ht="18.75" x14ac:dyDescent="0.25">
      <c r="A16" s="408" t="s">
        <v>291</v>
      </c>
      <c r="B16" s="409"/>
      <c r="C16" s="410"/>
      <c r="D16" s="45"/>
      <c r="E16" s="46"/>
      <c r="F16" s="20"/>
      <c r="G16" s="22"/>
      <c r="H16" s="45"/>
      <c r="I16" s="48"/>
      <c r="J16" s="128"/>
    </row>
    <row r="17" spans="1:10" ht="18.75" x14ac:dyDescent="0.25">
      <c r="A17" s="408" t="s">
        <v>292</v>
      </c>
      <c r="B17" s="409"/>
      <c r="C17" s="410"/>
      <c r="D17" s="45"/>
      <c r="E17" s="46"/>
      <c r="F17" s="20"/>
      <c r="G17" s="22"/>
      <c r="H17" s="45"/>
      <c r="I17" s="48"/>
      <c r="J17" s="128"/>
    </row>
    <row r="18" spans="1:10" ht="18.75" x14ac:dyDescent="0.25">
      <c r="A18" s="404" t="s">
        <v>160</v>
      </c>
      <c r="B18" s="405"/>
      <c r="C18" s="405"/>
      <c r="D18" s="113">
        <f>КВ1Расстояние+КВ2Расстояние+КВ3Расстояние+КВ4Расстояние</f>
        <v>119.95</v>
      </c>
      <c r="E18" s="113">
        <f>КВ1Время+КВ2Время+КВ3Время+КВ4Время</f>
        <v>162</v>
      </c>
      <c r="F18" s="114"/>
      <c r="G18" s="116"/>
      <c r="H18" s="114"/>
      <c r="I18" s="113"/>
      <c r="J18" s="115"/>
    </row>
    <row r="19" spans="1:10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</row>
    <row r="20" spans="1:10" ht="18.75" x14ac:dyDescent="0.25">
      <c r="A20" s="58" t="str">
        <f>"Раннее прибытие на "&amp;КВ4&amp;" не пенализируется в пределах льготы"</f>
        <v>Раннее прибытие на КВ-4 Финиш Skoda не пенализируется в пределах льготы</v>
      </c>
      <c r="B20" s="58"/>
      <c r="C20" s="58"/>
      <c r="D20" s="14"/>
      <c r="E20" s="14"/>
      <c r="F20" s="14"/>
      <c r="G20" s="14"/>
      <c r="H20" s="14"/>
      <c r="I20" s="14"/>
      <c r="J20" s="14"/>
    </row>
    <row r="21" spans="1:10" x14ac:dyDescent="0.25">
      <c r="A21" s="14"/>
      <c r="B21" s="14"/>
      <c r="C21" s="14"/>
      <c r="D21" s="14"/>
      <c r="E21" s="14"/>
      <c r="F21" s="14"/>
      <c r="G21" s="14"/>
      <c r="H21" s="14"/>
      <c r="I21" s="14"/>
      <c r="J21" s="14"/>
    </row>
    <row r="22" spans="1:10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</row>
    <row r="23" spans="1:10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</row>
    <row r="24" spans="1:10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</row>
    <row r="25" spans="1:10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</row>
    <row r="26" spans="1:10" x14ac:dyDescent="0.25">
      <c r="A26" s="14"/>
      <c r="B26" s="14"/>
      <c r="C26" s="14"/>
      <c r="D26" s="14"/>
      <c r="E26" s="14"/>
      <c r="F26" s="14"/>
      <c r="G26" s="14"/>
      <c r="H26" s="14"/>
      <c r="I26" s="14"/>
      <c r="J26" s="14"/>
    </row>
    <row r="27" spans="1:10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</row>
    <row r="28" spans="1:10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</row>
    <row r="29" spans="1:10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</row>
    <row r="30" spans="1:10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</row>
  </sheetData>
  <mergeCells count="21">
    <mergeCell ref="I13:J13"/>
    <mergeCell ref="A11:C11"/>
    <mergeCell ref="A8:C8"/>
    <mergeCell ref="I8:J8"/>
    <mergeCell ref="C1:H1"/>
    <mergeCell ref="C2:H2"/>
    <mergeCell ref="H4:J4"/>
    <mergeCell ref="D4:G4"/>
    <mergeCell ref="I10:J10"/>
    <mergeCell ref="A18:C18"/>
    <mergeCell ref="A4:C5"/>
    <mergeCell ref="A14:C14"/>
    <mergeCell ref="A6:C6"/>
    <mergeCell ref="A7:C7"/>
    <mergeCell ref="A13:C13"/>
    <mergeCell ref="A10:C10"/>
    <mergeCell ref="A9:C9"/>
    <mergeCell ref="A12:C12"/>
    <mergeCell ref="A15:C15"/>
    <mergeCell ref="A16:C16"/>
    <mergeCell ref="A17:C17"/>
  </mergeCells>
  <pageMargins left="0.39370078740157483" right="0.39370078740157483" top="0.39370078740157483" bottom="0.39370078740157483" header="0" footer="0"/>
  <pageSetup paperSize="9" orientation="portrait" horizontalDpi="30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28"/>
  <sheetViews>
    <sheetView view="pageBreakPreview" zoomScaleSheetLayoutView="100" workbookViewId="0">
      <selection sqref="A1:O1"/>
    </sheetView>
  </sheetViews>
  <sheetFormatPr defaultColWidth="9.140625" defaultRowHeight="15" x14ac:dyDescent="0.25"/>
  <cols>
    <col min="1" max="1" width="5.7109375" style="14" customWidth="1"/>
    <col min="2" max="2" width="10.7109375" style="14" customWidth="1"/>
    <col min="3" max="3" width="15.7109375" style="14" customWidth="1"/>
    <col min="4" max="4" width="0.85546875" style="14" customWidth="1"/>
    <col min="5" max="6" width="3.28515625" style="14" customWidth="1"/>
    <col min="7" max="7" width="0.85546875" style="14" customWidth="1"/>
    <col min="8" max="8" width="15.7109375" style="14" customWidth="1"/>
    <col min="9" max="9" width="0.85546875" style="14" customWidth="1"/>
    <col min="10" max="11" width="3.28515625" style="14" customWidth="1"/>
    <col min="12" max="12" width="0.85546875" style="14" customWidth="1"/>
    <col min="13" max="25" width="5.7109375" style="14" customWidth="1"/>
    <col min="26" max="16384" width="9.140625" style="14"/>
  </cols>
  <sheetData>
    <row r="1" spans="1:28" ht="21" customHeight="1" x14ac:dyDescent="0.25">
      <c r="A1" s="566" t="str">
        <f>НазваниеПолное</f>
        <v>Ралли "Skoda Rally Weekend - 2017"</v>
      </c>
      <c r="B1" s="567"/>
      <c r="C1" s="567"/>
      <c r="D1" s="567"/>
      <c r="E1" s="567"/>
      <c r="F1" s="567"/>
      <c r="G1" s="567"/>
      <c r="H1" s="567"/>
      <c r="I1" s="567"/>
      <c r="J1" s="567"/>
      <c r="K1" s="567"/>
      <c r="L1" s="567"/>
      <c r="M1" s="567"/>
      <c r="N1" s="567"/>
      <c r="O1" s="568"/>
      <c r="P1" s="193"/>
      <c r="Q1" s="596" t="str">
        <f ca="1">INDIRECT(ADDRESS($AB$1,1,,,"Общее"))</f>
        <v>КВ-0 Старт Skoda</v>
      </c>
      <c r="R1" s="596"/>
      <c r="S1" s="596"/>
      <c r="T1" s="596"/>
      <c r="U1" s="596"/>
      <c r="V1" s="596"/>
      <c r="W1" s="596"/>
      <c r="X1" s="596"/>
      <c r="Y1" s="596"/>
      <c r="AA1" s="14" t="s">
        <v>153</v>
      </c>
      <c r="AB1" s="14">
        <v>13</v>
      </c>
    </row>
    <row r="2" spans="1:28" ht="21" customHeight="1" x14ac:dyDescent="0.25">
      <c r="A2" s="570" t="s">
        <v>11</v>
      </c>
      <c r="B2" s="571"/>
      <c r="C2" s="571"/>
      <c r="D2" s="571"/>
      <c r="E2" s="571"/>
      <c r="F2" s="571"/>
      <c r="G2" s="571"/>
      <c r="H2" s="571"/>
      <c r="I2" s="571"/>
      <c r="J2" s="571"/>
      <c r="K2" s="571"/>
      <c r="L2" s="571"/>
      <c r="M2" s="571"/>
      <c r="N2" s="571"/>
      <c r="O2" s="572"/>
      <c r="P2" s="192"/>
      <c r="Q2" s="596"/>
      <c r="R2" s="596"/>
      <c r="S2" s="596"/>
      <c r="T2" s="596"/>
      <c r="U2" s="596"/>
      <c r="V2" s="596"/>
      <c r="W2" s="596"/>
      <c r="X2" s="596"/>
      <c r="Y2" s="596"/>
    </row>
    <row r="3" spans="1:28" ht="2.1" customHeight="1" x14ac:dyDescent="0.25">
      <c r="A3" s="18"/>
      <c r="B3" s="18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2"/>
      <c r="N3" s="182"/>
      <c r="O3" s="182"/>
      <c r="P3" s="182"/>
    </row>
    <row r="4" spans="1:28" ht="20.100000000000001" customHeight="1" x14ac:dyDescent="0.25">
      <c r="A4" s="548" t="s">
        <v>12</v>
      </c>
      <c r="B4" s="548"/>
      <c r="C4" s="573" t="str">
        <f ca="1">INDIRECT(ADDRESS($AB$1,12,,,"Общее"))</f>
        <v>Борисов+</v>
      </c>
      <c r="D4" s="573"/>
      <c r="E4" s="573"/>
      <c r="F4" s="573"/>
      <c r="G4" s="573"/>
      <c r="H4" s="573"/>
      <c r="I4" s="573"/>
      <c r="J4" s="573"/>
      <c r="K4" s="573"/>
      <c r="M4" s="548" t="s">
        <v>268</v>
      </c>
      <c r="N4" s="548"/>
      <c r="O4" s="548"/>
      <c r="P4" s="548"/>
      <c r="Q4" s="548" t="s">
        <v>136</v>
      </c>
      <c r="R4" s="548"/>
      <c r="S4" s="554">
        <f ca="1">INDIRECT(ADDRESS($AB$1,9,,,"Общее"))</f>
        <v>0.5</v>
      </c>
      <c r="T4" s="554"/>
      <c r="U4" s="548" t="s">
        <v>135</v>
      </c>
      <c r="V4" s="548"/>
      <c r="W4" s="552" t="s">
        <v>164</v>
      </c>
      <c r="X4" s="552"/>
      <c r="Y4" s="552"/>
    </row>
    <row r="5" spans="1:28" ht="20.100000000000001" customHeight="1" x14ac:dyDescent="0.25">
      <c r="A5" s="548" t="s">
        <v>13</v>
      </c>
      <c r="B5" s="548"/>
      <c r="C5" s="548"/>
      <c r="D5" s="548"/>
      <c r="E5" s="548"/>
      <c r="F5" s="548"/>
      <c r="G5" s="548"/>
      <c r="H5" s="548"/>
      <c r="I5" s="548"/>
      <c r="J5" s="548"/>
      <c r="K5" s="548"/>
      <c r="M5" s="548" t="s">
        <v>269</v>
      </c>
      <c r="N5" s="548"/>
      <c r="O5" s="548"/>
      <c r="P5" s="548"/>
      <c r="Q5" s="548" t="s">
        <v>136</v>
      </c>
      <c r="R5" s="548"/>
      <c r="S5" s="554">
        <f ca="1">INDIRECT(ADDRESS($AB$1,11,,,"Общее"))</f>
        <v>0.52847222222222223</v>
      </c>
      <c r="T5" s="554"/>
      <c r="U5" s="548" t="s">
        <v>135</v>
      </c>
      <c r="V5" s="548"/>
      <c r="W5" s="552" t="s">
        <v>164</v>
      </c>
      <c r="X5" s="552"/>
      <c r="Y5" s="552"/>
    </row>
    <row r="6" spans="1:28" ht="2.1" customHeight="1" x14ac:dyDescent="0.25">
      <c r="A6" s="180"/>
      <c r="B6" s="180"/>
      <c r="C6" s="60"/>
      <c r="D6" s="60"/>
      <c r="E6" s="180"/>
      <c r="F6" s="180"/>
      <c r="G6" s="180"/>
      <c r="H6" s="60"/>
      <c r="I6" s="60"/>
      <c r="J6" s="180"/>
      <c r="K6" s="180"/>
      <c r="L6" s="180"/>
      <c r="M6" s="179"/>
      <c r="N6" s="179"/>
      <c r="O6" s="179"/>
      <c r="P6" s="179"/>
    </row>
    <row r="7" spans="1:28" ht="20.100000000000001" customHeight="1" x14ac:dyDescent="0.25">
      <c r="A7" s="553"/>
      <c r="B7" s="548" t="s">
        <v>0</v>
      </c>
      <c r="C7" s="587" t="s">
        <v>199</v>
      </c>
      <c r="D7" s="588"/>
      <c r="E7" s="588"/>
      <c r="F7" s="588"/>
      <c r="G7" s="589"/>
      <c r="H7" s="587" t="s">
        <v>200</v>
      </c>
      <c r="I7" s="588"/>
      <c r="J7" s="588"/>
      <c r="K7" s="588"/>
      <c r="L7" s="589"/>
      <c r="M7" s="590" t="s">
        <v>80</v>
      </c>
      <c r="N7" s="591"/>
      <c r="O7" s="591"/>
      <c r="P7" s="591"/>
      <c r="Q7" s="591"/>
      <c r="R7" s="591"/>
      <c r="S7" s="591"/>
      <c r="T7" s="591"/>
      <c r="U7" s="591"/>
      <c r="V7" s="591"/>
      <c r="W7" s="591"/>
      <c r="X7" s="591"/>
      <c r="Y7" s="592"/>
      <c r="AA7" s="14" t="s">
        <v>201</v>
      </c>
    </row>
    <row r="8" spans="1:28" ht="20.100000000000001" customHeight="1" x14ac:dyDescent="0.25">
      <c r="A8" s="553"/>
      <c r="B8" s="548"/>
      <c r="C8" s="587" t="s">
        <v>270</v>
      </c>
      <c r="D8" s="588"/>
      <c r="E8" s="588"/>
      <c r="F8" s="588"/>
      <c r="G8" s="589"/>
      <c r="H8" s="587" t="s">
        <v>270</v>
      </c>
      <c r="I8" s="588"/>
      <c r="J8" s="588"/>
      <c r="K8" s="588"/>
      <c r="L8" s="589"/>
      <c r="M8" s="593"/>
      <c r="N8" s="594"/>
      <c r="O8" s="594"/>
      <c r="P8" s="594"/>
      <c r="Q8" s="594"/>
      <c r="R8" s="594"/>
      <c r="S8" s="594"/>
      <c r="T8" s="594"/>
      <c r="U8" s="594"/>
      <c r="V8" s="594"/>
      <c r="W8" s="594"/>
      <c r="X8" s="594"/>
      <c r="Y8" s="595"/>
    </row>
    <row r="9" spans="1:28" ht="9.9499999999999993" customHeight="1" x14ac:dyDescent="0.25">
      <c r="A9" s="549">
        <v>1</v>
      </c>
      <c r="B9" s="573">
        <f ca="1">IF(ISBLANK(INDIRECT(ADDRESS(5+(ROW()-9)/3,2,,,"Стартовая ведомость"))),"",INDIRECT(ADDRESS(5+(ROW()-9)/3,2,,,"Стартовая ведомость")))</f>
        <v>1</v>
      </c>
      <c r="C9" s="196"/>
      <c r="D9" s="196"/>
      <c r="E9" s="188"/>
      <c r="F9" s="188"/>
      <c r="G9" s="189"/>
      <c r="H9" s="188"/>
      <c r="I9" s="188"/>
      <c r="J9" s="188"/>
      <c r="K9" s="188"/>
      <c r="L9" s="189"/>
      <c r="M9" s="574" t="str">
        <f ca="1">IF(INDIRECT(ADDRESS(5+(ROW()-9)/3,7,,,"Стартовая ведомость"))="Pro","Выдать ДК","")</f>
        <v/>
      </c>
      <c r="N9" s="575"/>
      <c r="O9" s="575"/>
      <c r="P9" s="575"/>
      <c r="Q9" s="575"/>
      <c r="R9" s="575"/>
      <c r="S9" s="575"/>
      <c r="T9" s="575"/>
      <c r="U9" s="575"/>
      <c r="V9" s="575"/>
      <c r="W9" s="575"/>
      <c r="X9" s="575"/>
      <c r="Y9" s="576"/>
    </row>
    <row r="10" spans="1:28" s="27" customFormat="1" ht="20.100000000000001" customHeight="1" x14ac:dyDescent="0.25">
      <c r="A10" s="550"/>
      <c r="B10" s="573"/>
      <c r="C10" s="583">
        <f ca="1">IF(ISBLANK(INDIRECT(ADDRESS(5+(ROW()-8)/3,8,,,"Стартовая ведомость"))),"",INDIRECT(ADDRESS(5+(ROW()-8)/3,8,,,"Стартовая ведомость")))</f>
        <v>0.50069444444444444</v>
      </c>
      <c r="D10" s="584"/>
      <c r="E10" s="195"/>
      <c r="F10" s="195"/>
      <c r="G10" s="191"/>
      <c r="H10" s="585" t="s">
        <v>165</v>
      </c>
      <c r="I10" s="586"/>
      <c r="J10" s="195"/>
      <c r="K10" s="195"/>
      <c r="L10" s="191"/>
      <c r="M10" s="577"/>
      <c r="N10" s="578"/>
      <c r="O10" s="578"/>
      <c r="P10" s="578"/>
      <c r="Q10" s="578"/>
      <c r="R10" s="578"/>
      <c r="S10" s="578"/>
      <c r="T10" s="578"/>
      <c r="U10" s="578"/>
      <c r="V10" s="578"/>
      <c r="W10" s="578"/>
      <c r="X10" s="578"/>
      <c r="Y10" s="579"/>
    </row>
    <row r="11" spans="1:28" ht="9.9499999999999993" customHeight="1" x14ac:dyDescent="0.25">
      <c r="A11" s="551"/>
      <c r="B11" s="573"/>
      <c r="C11" s="197"/>
      <c r="D11" s="197"/>
      <c r="E11" s="183"/>
      <c r="F11" s="183"/>
      <c r="G11" s="190"/>
      <c r="H11" s="183"/>
      <c r="I11" s="183"/>
      <c r="J11" s="183"/>
      <c r="K11" s="183"/>
      <c r="L11" s="190"/>
      <c r="M11" s="580"/>
      <c r="N11" s="581"/>
      <c r="O11" s="581"/>
      <c r="P11" s="581"/>
      <c r="Q11" s="581"/>
      <c r="R11" s="581"/>
      <c r="S11" s="581"/>
      <c r="T11" s="581"/>
      <c r="U11" s="581"/>
      <c r="V11" s="581"/>
      <c r="W11" s="581"/>
      <c r="X11" s="581"/>
      <c r="Y11" s="582"/>
    </row>
    <row r="12" spans="1:28" ht="9.9499999999999993" customHeight="1" x14ac:dyDescent="0.25">
      <c r="A12" s="549">
        <f>1+A9</f>
        <v>2</v>
      </c>
      <c r="B12" s="573">
        <f t="shared" ref="B12" ca="1" si="0">IF(ISBLANK(INDIRECT(ADDRESS(5+(ROW()-9)/3,2,,,"Стартовая ведомость"))),"",INDIRECT(ADDRESS(5+(ROW()-9)/3,2,,,"Стартовая ведомость")))</f>
        <v>2</v>
      </c>
      <c r="C12" s="196"/>
      <c r="D12" s="196"/>
      <c r="E12" s="188"/>
      <c r="F12" s="188"/>
      <c r="G12" s="189"/>
      <c r="H12" s="188"/>
      <c r="I12" s="188"/>
      <c r="J12" s="188"/>
      <c r="K12" s="188"/>
      <c r="L12" s="189"/>
      <c r="M12" s="574" t="str">
        <f t="shared" ref="M12" ca="1" si="1">IF(INDIRECT(ADDRESS(5+(ROW()-9)/3,7,,,"Стартовая ведомость"))="Pro","Выдать ДК","")</f>
        <v/>
      </c>
      <c r="N12" s="575"/>
      <c r="O12" s="575"/>
      <c r="P12" s="575"/>
      <c r="Q12" s="575"/>
      <c r="R12" s="575"/>
      <c r="S12" s="575"/>
      <c r="T12" s="575"/>
      <c r="U12" s="575"/>
      <c r="V12" s="575"/>
      <c r="W12" s="575"/>
      <c r="X12" s="575"/>
      <c r="Y12" s="576"/>
    </row>
    <row r="13" spans="1:28" s="27" customFormat="1" ht="20.100000000000001" customHeight="1" x14ac:dyDescent="0.25">
      <c r="A13" s="550"/>
      <c r="B13" s="573"/>
      <c r="C13" s="583">
        <f t="shared" ref="C13" ca="1" si="2">IF(ISBLANK(INDIRECT(ADDRESS(5+(ROW()-8)/3,8,,,"Стартовая ведомость"))),"",INDIRECT(ADDRESS(5+(ROW()-8)/3,8,,,"Стартовая ведомость")))</f>
        <v>0.50138888888888888</v>
      </c>
      <c r="D13" s="584"/>
      <c r="E13" s="195"/>
      <c r="F13" s="195"/>
      <c r="G13" s="191"/>
      <c r="H13" s="585" t="s">
        <v>165</v>
      </c>
      <c r="I13" s="586"/>
      <c r="J13" s="195"/>
      <c r="K13" s="195"/>
      <c r="L13" s="191"/>
      <c r="M13" s="577"/>
      <c r="N13" s="578"/>
      <c r="O13" s="578"/>
      <c r="P13" s="578"/>
      <c r="Q13" s="578"/>
      <c r="R13" s="578"/>
      <c r="S13" s="578"/>
      <c r="T13" s="578"/>
      <c r="U13" s="578"/>
      <c r="V13" s="578"/>
      <c r="W13" s="578"/>
      <c r="X13" s="578"/>
      <c r="Y13" s="579"/>
    </row>
    <row r="14" spans="1:28" ht="9.9499999999999993" customHeight="1" x14ac:dyDescent="0.25">
      <c r="A14" s="551"/>
      <c r="B14" s="573"/>
      <c r="C14" s="197"/>
      <c r="D14" s="197"/>
      <c r="E14" s="183"/>
      <c r="F14" s="183"/>
      <c r="G14" s="190"/>
      <c r="H14" s="183"/>
      <c r="I14" s="183"/>
      <c r="J14" s="183"/>
      <c r="K14" s="183"/>
      <c r="L14" s="190"/>
      <c r="M14" s="580"/>
      <c r="N14" s="581"/>
      <c r="O14" s="581"/>
      <c r="P14" s="581"/>
      <c r="Q14" s="581"/>
      <c r="R14" s="581"/>
      <c r="S14" s="581"/>
      <c r="T14" s="581"/>
      <c r="U14" s="581"/>
      <c r="V14" s="581"/>
      <c r="W14" s="581"/>
      <c r="X14" s="581"/>
      <c r="Y14" s="582"/>
    </row>
    <row r="15" spans="1:28" ht="9.9499999999999993" customHeight="1" x14ac:dyDescent="0.25">
      <c r="A15" s="549">
        <f>1+A12</f>
        <v>3</v>
      </c>
      <c r="B15" s="573">
        <f t="shared" ref="B15" ca="1" si="3">IF(ISBLANK(INDIRECT(ADDRESS(5+(ROW()-9)/3,2,,,"Стартовая ведомость"))),"",INDIRECT(ADDRESS(5+(ROW()-9)/3,2,,,"Стартовая ведомость")))</f>
        <v>3</v>
      </c>
      <c r="C15" s="196"/>
      <c r="D15" s="196"/>
      <c r="E15" s="188"/>
      <c r="F15" s="188"/>
      <c r="G15" s="189"/>
      <c r="H15" s="188"/>
      <c r="I15" s="188"/>
      <c r="J15" s="188"/>
      <c r="K15" s="188"/>
      <c r="L15" s="189"/>
      <c r="M15" s="574" t="str">
        <f t="shared" ref="M15" ca="1" si="4">IF(INDIRECT(ADDRESS(5+(ROW()-9)/3,7,,,"Стартовая ведомость"))="Pro","Выдать ДК","")</f>
        <v/>
      </c>
      <c r="N15" s="575"/>
      <c r="O15" s="575"/>
      <c r="P15" s="575"/>
      <c r="Q15" s="575"/>
      <c r="R15" s="575"/>
      <c r="S15" s="575"/>
      <c r="T15" s="575"/>
      <c r="U15" s="575"/>
      <c r="V15" s="575"/>
      <c r="W15" s="575"/>
      <c r="X15" s="575"/>
      <c r="Y15" s="576"/>
    </row>
    <row r="16" spans="1:28" s="27" customFormat="1" ht="20.100000000000001" customHeight="1" x14ac:dyDescent="0.25">
      <c r="A16" s="550"/>
      <c r="B16" s="573"/>
      <c r="C16" s="583">
        <f t="shared" ref="C16" ca="1" si="5">IF(ISBLANK(INDIRECT(ADDRESS(5+(ROW()-8)/3,8,,,"Стартовая ведомость"))),"",INDIRECT(ADDRESS(5+(ROW()-8)/3,8,,,"Стартовая ведомость")))</f>
        <v>0.50208333333333333</v>
      </c>
      <c r="D16" s="584"/>
      <c r="E16" s="195"/>
      <c r="F16" s="195"/>
      <c r="G16" s="191"/>
      <c r="H16" s="585" t="s">
        <v>165</v>
      </c>
      <c r="I16" s="586"/>
      <c r="J16" s="195"/>
      <c r="K16" s="195"/>
      <c r="L16" s="191"/>
      <c r="M16" s="577"/>
      <c r="N16" s="578"/>
      <c r="O16" s="578"/>
      <c r="P16" s="578"/>
      <c r="Q16" s="578"/>
      <c r="R16" s="578"/>
      <c r="S16" s="578"/>
      <c r="T16" s="578"/>
      <c r="U16" s="578"/>
      <c r="V16" s="578"/>
      <c r="W16" s="578"/>
      <c r="X16" s="578"/>
      <c r="Y16" s="579"/>
    </row>
    <row r="17" spans="1:25" ht="9.9499999999999993" customHeight="1" x14ac:dyDescent="0.25">
      <c r="A17" s="551"/>
      <c r="B17" s="573"/>
      <c r="C17" s="197"/>
      <c r="D17" s="197"/>
      <c r="E17" s="183"/>
      <c r="F17" s="183"/>
      <c r="G17" s="190"/>
      <c r="H17" s="183"/>
      <c r="I17" s="183"/>
      <c r="J17" s="183"/>
      <c r="K17" s="183"/>
      <c r="L17" s="190"/>
      <c r="M17" s="580"/>
      <c r="N17" s="581"/>
      <c r="O17" s="581"/>
      <c r="P17" s="581"/>
      <c r="Q17" s="581"/>
      <c r="R17" s="581"/>
      <c r="S17" s="581"/>
      <c r="T17" s="581"/>
      <c r="U17" s="581"/>
      <c r="V17" s="581"/>
      <c r="W17" s="581"/>
      <c r="X17" s="581"/>
      <c r="Y17" s="582"/>
    </row>
    <row r="18" spans="1:25" ht="9.9499999999999993" customHeight="1" x14ac:dyDescent="0.25">
      <c r="A18" s="549">
        <f t="shared" ref="A18" si="6">1+A15</f>
        <v>4</v>
      </c>
      <c r="B18" s="573">
        <f t="shared" ref="B18" ca="1" si="7">IF(ISBLANK(INDIRECT(ADDRESS(5+(ROW()-9)/3,2,,,"Стартовая ведомость"))),"",INDIRECT(ADDRESS(5+(ROW()-9)/3,2,,,"Стартовая ведомость")))</f>
        <v>4</v>
      </c>
      <c r="C18" s="196"/>
      <c r="D18" s="196"/>
      <c r="E18" s="188"/>
      <c r="F18" s="188"/>
      <c r="G18" s="189"/>
      <c r="H18" s="188"/>
      <c r="I18" s="188"/>
      <c r="J18" s="188"/>
      <c r="K18" s="188"/>
      <c r="L18" s="189"/>
      <c r="M18" s="574" t="str">
        <f t="shared" ref="M18" ca="1" si="8">IF(INDIRECT(ADDRESS(5+(ROW()-9)/3,7,,,"Стартовая ведомость"))="Pro","Выдать ДК","")</f>
        <v/>
      </c>
      <c r="N18" s="575"/>
      <c r="O18" s="575"/>
      <c r="P18" s="575"/>
      <c r="Q18" s="575"/>
      <c r="R18" s="575"/>
      <c r="S18" s="575"/>
      <c r="T18" s="575"/>
      <c r="U18" s="575"/>
      <c r="V18" s="575"/>
      <c r="W18" s="575"/>
      <c r="X18" s="575"/>
      <c r="Y18" s="576"/>
    </row>
    <row r="19" spans="1:25" s="27" customFormat="1" ht="20.100000000000001" customHeight="1" x14ac:dyDescent="0.25">
      <c r="A19" s="550"/>
      <c r="B19" s="573"/>
      <c r="C19" s="583">
        <f t="shared" ref="C19" ca="1" si="9">IF(ISBLANK(INDIRECT(ADDRESS(5+(ROW()-8)/3,8,,,"Стартовая ведомость"))),"",INDIRECT(ADDRESS(5+(ROW()-8)/3,8,,,"Стартовая ведомость")))</f>
        <v>0.50277777777777777</v>
      </c>
      <c r="D19" s="584"/>
      <c r="E19" s="195"/>
      <c r="F19" s="195"/>
      <c r="G19" s="191"/>
      <c r="H19" s="585" t="s">
        <v>165</v>
      </c>
      <c r="I19" s="586"/>
      <c r="J19" s="195"/>
      <c r="K19" s="195"/>
      <c r="L19" s="191"/>
      <c r="M19" s="577"/>
      <c r="N19" s="578"/>
      <c r="O19" s="578"/>
      <c r="P19" s="578"/>
      <c r="Q19" s="578"/>
      <c r="R19" s="578"/>
      <c r="S19" s="578"/>
      <c r="T19" s="578"/>
      <c r="U19" s="578"/>
      <c r="V19" s="578"/>
      <c r="W19" s="578"/>
      <c r="X19" s="578"/>
      <c r="Y19" s="579"/>
    </row>
    <row r="20" spans="1:25" ht="9.9499999999999993" customHeight="1" x14ac:dyDescent="0.25">
      <c r="A20" s="551"/>
      <c r="B20" s="573"/>
      <c r="C20" s="197"/>
      <c r="D20" s="197"/>
      <c r="E20" s="183"/>
      <c r="F20" s="183"/>
      <c r="G20" s="190"/>
      <c r="H20" s="183"/>
      <c r="I20" s="183"/>
      <c r="J20" s="183"/>
      <c r="K20" s="183"/>
      <c r="L20" s="190"/>
      <c r="M20" s="580"/>
      <c r="N20" s="581"/>
      <c r="O20" s="581"/>
      <c r="P20" s="581"/>
      <c r="Q20" s="581"/>
      <c r="R20" s="581"/>
      <c r="S20" s="581"/>
      <c r="T20" s="581"/>
      <c r="U20" s="581"/>
      <c r="V20" s="581"/>
      <c r="W20" s="581"/>
      <c r="X20" s="581"/>
      <c r="Y20" s="582"/>
    </row>
    <row r="21" spans="1:25" ht="9.9499999999999993" customHeight="1" x14ac:dyDescent="0.25">
      <c r="A21" s="549">
        <f t="shared" ref="A21" si="10">1+A18</f>
        <v>5</v>
      </c>
      <c r="B21" s="573">
        <f t="shared" ref="B21" ca="1" si="11">IF(ISBLANK(INDIRECT(ADDRESS(5+(ROW()-9)/3,2,,,"Стартовая ведомость"))),"",INDIRECT(ADDRESS(5+(ROW()-9)/3,2,,,"Стартовая ведомость")))</f>
        <v>5</v>
      </c>
      <c r="C21" s="196"/>
      <c r="D21" s="196"/>
      <c r="E21" s="188"/>
      <c r="F21" s="188"/>
      <c r="G21" s="189"/>
      <c r="H21" s="188"/>
      <c r="I21" s="188"/>
      <c r="J21" s="188"/>
      <c r="K21" s="188"/>
      <c r="L21" s="189"/>
      <c r="M21" s="574" t="str">
        <f t="shared" ref="M21" ca="1" si="12">IF(INDIRECT(ADDRESS(5+(ROW()-9)/3,7,,,"Стартовая ведомость"))="Pro","Выдать ДК","")</f>
        <v/>
      </c>
      <c r="N21" s="575"/>
      <c r="O21" s="575"/>
      <c r="P21" s="575"/>
      <c r="Q21" s="575"/>
      <c r="R21" s="575"/>
      <c r="S21" s="575"/>
      <c r="T21" s="575"/>
      <c r="U21" s="575"/>
      <c r="V21" s="575"/>
      <c r="W21" s="575"/>
      <c r="X21" s="575"/>
      <c r="Y21" s="576"/>
    </row>
    <row r="22" spans="1:25" s="27" customFormat="1" ht="20.100000000000001" customHeight="1" x14ac:dyDescent="0.25">
      <c r="A22" s="550"/>
      <c r="B22" s="573"/>
      <c r="C22" s="583">
        <f t="shared" ref="C22" ca="1" si="13">IF(ISBLANK(INDIRECT(ADDRESS(5+(ROW()-8)/3,8,,,"Стартовая ведомость"))),"",INDIRECT(ADDRESS(5+(ROW()-8)/3,8,,,"Стартовая ведомость")))</f>
        <v>0.50347222222222221</v>
      </c>
      <c r="D22" s="584"/>
      <c r="E22" s="195"/>
      <c r="F22" s="195"/>
      <c r="G22" s="191"/>
      <c r="H22" s="585" t="s">
        <v>165</v>
      </c>
      <c r="I22" s="586"/>
      <c r="J22" s="195"/>
      <c r="K22" s="195"/>
      <c r="L22" s="191"/>
      <c r="M22" s="577"/>
      <c r="N22" s="578"/>
      <c r="O22" s="578"/>
      <c r="P22" s="578"/>
      <c r="Q22" s="578"/>
      <c r="R22" s="578"/>
      <c r="S22" s="578"/>
      <c r="T22" s="578"/>
      <c r="U22" s="578"/>
      <c r="V22" s="578"/>
      <c r="W22" s="578"/>
      <c r="X22" s="578"/>
      <c r="Y22" s="579"/>
    </row>
    <row r="23" spans="1:25" ht="9.9499999999999993" customHeight="1" x14ac:dyDescent="0.25">
      <c r="A23" s="551"/>
      <c r="B23" s="573"/>
      <c r="C23" s="197"/>
      <c r="D23" s="197"/>
      <c r="E23" s="183"/>
      <c r="F23" s="183"/>
      <c r="G23" s="190"/>
      <c r="H23" s="183"/>
      <c r="I23" s="183"/>
      <c r="J23" s="183"/>
      <c r="K23" s="183"/>
      <c r="L23" s="190"/>
      <c r="M23" s="580"/>
      <c r="N23" s="581"/>
      <c r="O23" s="581"/>
      <c r="P23" s="581"/>
      <c r="Q23" s="581"/>
      <c r="R23" s="581"/>
      <c r="S23" s="581"/>
      <c r="T23" s="581"/>
      <c r="U23" s="581"/>
      <c r="V23" s="581"/>
      <c r="W23" s="581"/>
      <c r="X23" s="581"/>
      <c r="Y23" s="582"/>
    </row>
    <row r="24" spans="1:25" ht="9.9499999999999993" customHeight="1" x14ac:dyDescent="0.25">
      <c r="A24" s="549">
        <f t="shared" ref="A24" si="14">1+A21</f>
        <v>6</v>
      </c>
      <c r="B24" s="573">
        <f t="shared" ref="B24" ca="1" si="15">IF(ISBLANK(INDIRECT(ADDRESS(5+(ROW()-9)/3,2,,,"Стартовая ведомость"))),"",INDIRECT(ADDRESS(5+(ROW()-9)/3,2,,,"Стартовая ведомость")))</f>
        <v>6</v>
      </c>
      <c r="C24" s="196"/>
      <c r="D24" s="196"/>
      <c r="E24" s="188"/>
      <c r="F24" s="188"/>
      <c r="G24" s="189"/>
      <c r="H24" s="188"/>
      <c r="I24" s="188"/>
      <c r="J24" s="188"/>
      <c r="K24" s="188"/>
      <c r="L24" s="189"/>
      <c r="M24" s="574" t="str">
        <f t="shared" ref="M24" ca="1" si="16">IF(INDIRECT(ADDRESS(5+(ROW()-9)/3,7,,,"Стартовая ведомость"))="Pro","Выдать ДК","")</f>
        <v/>
      </c>
      <c r="N24" s="575"/>
      <c r="O24" s="575"/>
      <c r="P24" s="575"/>
      <c r="Q24" s="575"/>
      <c r="R24" s="575"/>
      <c r="S24" s="575"/>
      <c r="T24" s="575"/>
      <c r="U24" s="575"/>
      <c r="V24" s="575"/>
      <c r="W24" s="575"/>
      <c r="X24" s="575"/>
      <c r="Y24" s="576"/>
    </row>
    <row r="25" spans="1:25" s="27" customFormat="1" ht="20.100000000000001" customHeight="1" x14ac:dyDescent="0.25">
      <c r="A25" s="550"/>
      <c r="B25" s="573"/>
      <c r="C25" s="583">
        <f t="shared" ref="C25" ca="1" si="17">IF(ISBLANK(INDIRECT(ADDRESS(5+(ROW()-8)/3,8,,,"Стартовая ведомость"))),"",INDIRECT(ADDRESS(5+(ROW()-8)/3,8,,,"Стартовая ведомость")))</f>
        <v>0.50416666666666665</v>
      </c>
      <c r="D25" s="584"/>
      <c r="E25" s="195"/>
      <c r="F25" s="195"/>
      <c r="G25" s="191"/>
      <c r="H25" s="585" t="s">
        <v>165</v>
      </c>
      <c r="I25" s="586"/>
      <c r="J25" s="195"/>
      <c r="K25" s="195"/>
      <c r="L25" s="191"/>
      <c r="M25" s="577"/>
      <c r="N25" s="578"/>
      <c r="O25" s="578"/>
      <c r="P25" s="578"/>
      <c r="Q25" s="578"/>
      <c r="R25" s="578"/>
      <c r="S25" s="578"/>
      <c r="T25" s="578"/>
      <c r="U25" s="578"/>
      <c r="V25" s="578"/>
      <c r="W25" s="578"/>
      <c r="X25" s="578"/>
      <c r="Y25" s="579"/>
    </row>
    <row r="26" spans="1:25" ht="9.9499999999999993" customHeight="1" x14ac:dyDescent="0.25">
      <c r="A26" s="551"/>
      <c r="B26" s="573"/>
      <c r="C26" s="197"/>
      <c r="D26" s="197"/>
      <c r="E26" s="183"/>
      <c r="F26" s="183"/>
      <c r="G26" s="190"/>
      <c r="H26" s="183"/>
      <c r="I26" s="183"/>
      <c r="J26" s="183"/>
      <c r="K26" s="183"/>
      <c r="L26" s="190"/>
      <c r="M26" s="580"/>
      <c r="N26" s="581"/>
      <c r="O26" s="581"/>
      <c r="P26" s="581"/>
      <c r="Q26" s="581"/>
      <c r="R26" s="581"/>
      <c r="S26" s="581"/>
      <c r="T26" s="581"/>
      <c r="U26" s="581"/>
      <c r="V26" s="581"/>
      <c r="W26" s="581"/>
      <c r="X26" s="581"/>
      <c r="Y26" s="582"/>
    </row>
    <row r="27" spans="1:25" ht="9.9499999999999993" customHeight="1" x14ac:dyDescent="0.25">
      <c r="A27" s="549">
        <f t="shared" ref="A27" si="18">1+A24</f>
        <v>7</v>
      </c>
      <c r="B27" s="573">
        <f t="shared" ref="B27" ca="1" si="19">IF(ISBLANK(INDIRECT(ADDRESS(5+(ROW()-9)/3,2,,,"Стартовая ведомость"))),"",INDIRECT(ADDRESS(5+(ROW()-9)/3,2,,,"Стартовая ведомость")))</f>
        <v>7</v>
      </c>
      <c r="C27" s="196"/>
      <c r="D27" s="196"/>
      <c r="E27" s="188"/>
      <c r="F27" s="188"/>
      <c r="G27" s="189"/>
      <c r="H27" s="188"/>
      <c r="I27" s="188"/>
      <c r="J27" s="188"/>
      <c r="K27" s="188"/>
      <c r="L27" s="189"/>
      <c r="M27" s="574" t="str">
        <f t="shared" ref="M27" ca="1" si="20">IF(INDIRECT(ADDRESS(5+(ROW()-9)/3,7,,,"Стартовая ведомость"))="Pro","Выдать ДК","")</f>
        <v/>
      </c>
      <c r="N27" s="575"/>
      <c r="O27" s="575"/>
      <c r="P27" s="575"/>
      <c r="Q27" s="575"/>
      <c r="R27" s="575"/>
      <c r="S27" s="575"/>
      <c r="T27" s="575"/>
      <c r="U27" s="575"/>
      <c r="V27" s="575"/>
      <c r="W27" s="575"/>
      <c r="X27" s="575"/>
      <c r="Y27" s="576"/>
    </row>
    <row r="28" spans="1:25" s="27" customFormat="1" ht="20.100000000000001" customHeight="1" x14ac:dyDescent="0.25">
      <c r="A28" s="550"/>
      <c r="B28" s="573"/>
      <c r="C28" s="583">
        <f t="shared" ref="C28" ca="1" si="21">IF(ISBLANK(INDIRECT(ADDRESS(5+(ROW()-8)/3,8,,,"Стартовая ведомость"))),"",INDIRECT(ADDRESS(5+(ROW()-8)/3,8,,,"Стартовая ведомость")))</f>
        <v>0.50486111111111109</v>
      </c>
      <c r="D28" s="584"/>
      <c r="E28" s="195"/>
      <c r="F28" s="195"/>
      <c r="G28" s="191"/>
      <c r="H28" s="585" t="s">
        <v>165</v>
      </c>
      <c r="I28" s="586"/>
      <c r="J28" s="195"/>
      <c r="K28" s="195"/>
      <c r="L28" s="191"/>
      <c r="M28" s="577"/>
      <c r="N28" s="578"/>
      <c r="O28" s="578"/>
      <c r="P28" s="578"/>
      <c r="Q28" s="578"/>
      <c r="R28" s="578"/>
      <c r="S28" s="578"/>
      <c r="T28" s="578"/>
      <c r="U28" s="578"/>
      <c r="V28" s="578"/>
      <c r="W28" s="578"/>
      <c r="X28" s="578"/>
      <c r="Y28" s="579"/>
    </row>
    <row r="29" spans="1:25" ht="9.9499999999999993" customHeight="1" x14ac:dyDescent="0.25">
      <c r="A29" s="551"/>
      <c r="B29" s="573"/>
      <c r="C29" s="197"/>
      <c r="D29" s="197"/>
      <c r="E29" s="183"/>
      <c r="F29" s="183"/>
      <c r="G29" s="190"/>
      <c r="H29" s="183"/>
      <c r="I29" s="183"/>
      <c r="J29" s="183"/>
      <c r="K29" s="183"/>
      <c r="L29" s="190"/>
      <c r="M29" s="580"/>
      <c r="N29" s="581"/>
      <c r="O29" s="581"/>
      <c r="P29" s="581"/>
      <c r="Q29" s="581"/>
      <c r="R29" s="581"/>
      <c r="S29" s="581"/>
      <c r="T29" s="581"/>
      <c r="U29" s="581"/>
      <c r="V29" s="581"/>
      <c r="W29" s="581"/>
      <c r="X29" s="581"/>
      <c r="Y29" s="582"/>
    </row>
    <row r="30" spans="1:25" ht="9.9499999999999993" customHeight="1" x14ac:dyDescent="0.25">
      <c r="A30" s="549">
        <f t="shared" ref="A30" si="22">1+A27</f>
        <v>8</v>
      </c>
      <c r="B30" s="573">
        <f t="shared" ref="B30" ca="1" si="23">IF(ISBLANK(INDIRECT(ADDRESS(5+(ROW()-9)/3,2,,,"Стартовая ведомость"))),"",INDIRECT(ADDRESS(5+(ROW()-9)/3,2,,,"Стартовая ведомость")))</f>
        <v>8</v>
      </c>
      <c r="C30" s="196"/>
      <c r="D30" s="196"/>
      <c r="E30" s="188"/>
      <c r="F30" s="188"/>
      <c r="G30" s="189"/>
      <c r="H30" s="188"/>
      <c r="I30" s="188"/>
      <c r="J30" s="188"/>
      <c r="K30" s="188"/>
      <c r="L30" s="189"/>
      <c r="M30" s="574" t="str">
        <f t="shared" ref="M30" ca="1" si="24">IF(INDIRECT(ADDRESS(5+(ROW()-9)/3,7,,,"Стартовая ведомость"))="Pro","Выдать ДК","")</f>
        <v/>
      </c>
      <c r="N30" s="575"/>
      <c r="O30" s="575"/>
      <c r="P30" s="575"/>
      <c r="Q30" s="575"/>
      <c r="R30" s="575"/>
      <c r="S30" s="575"/>
      <c r="T30" s="575"/>
      <c r="U30" s="575"/>
      <c r="V30" s="575"/>
      <c r="W30" s="575"/>
      <c r="X30" s="575"/>
      <c r="Y30" s="576"/>
    </row>
    <row r="31" spans="1:25" s="27" customFormat="1" ht="20.100000000000001" customHeight="1" x14ac:dyDescent="0.25">
      <c r="A31" s="550"/>
      <c r="B31" s="573"/>
      <c r="C31" s="583">
        <f t="shared" ref="C31" ca="1" si="25">IF(ISBLANK(INDIRECT(ADDRESS(5+(ROW()-8)/3,8,,,"Стартовая ведомость"))),"",INDIRECT(ADDRESS(5+(ROW()-8)/3,8,,,"Стартовая ведомость")))</f>
        <v>0.50555555555555554</v>
      </c>
      <c r="D31" s="584"/>
      <c r="E31" s="195"/>
      <c r="F31" s="195"/>
      <c r="G31" s="191"/>
      <c r="H31" s="585" t="s">
        <v>165</v>
      </c>
      <c r="I31" s="586"/>
      <c r="J31" s="195"/>
      <c r="K31" s="195"/>
      <c r="L31" s="191"/>
      <c r="M31" s="577"/>
      <c r="N31" s="578"/>
      <c r="O31" s="578"/>
      <c r="P31" s="578"/>
      <c r="Q31" s="578"/>
      <c r="R31" s="578"/>
      <c r="S31" s="578"/>
      <c r="T31" s="578"/>
      <c r="U31" s="578"/>
      <c r="V31" s="578"/>
      <c r="W31" s="578"/>
      <c r="X31" s="578"/>
      <c r="Y31" s="579"/>
    </row>
    <row r="32" spans="1:25" ht="9.9499999999999993" customHeight="1" x14ac:dyDescent="0.25">
      <c r="A32" s="551"/>
      <c r="B32" s="573"/>
      <c r="C32" s="197"/>
      <c r="D32" s="197"/>
      <c r="E32" s="183"/>
      <c r="F32" s="183"/>
      <c r="G32" s="190"/>
      <c r="H32" s="183"/>
      <c r="I32" s="183"/>
      <c r="J32" s="183"/>
      <c r="K32" s="183"/>
      <c r="L32" s="190"/>
      <c r="M32" s="580"/>
      <c r="N32" s="581"/>
      <c r="O32" s="581"/>
      <c r="P32" s="581"/>
      <c r="Q32" s="581"/>
      <c r="R32" s="581"/>
      <c r="S32" s="581"/>
      <c r="T32" s="581"/>
      <c r="U32" s="581"/>
      <c r="V32" s="581"/>
      <c r="W32" s="581"/>
      <c r="X32" s="581"/>
      <c r="Y32" s="582"/>
    </row>
    <row r="33" spans="1:25" ht="9.9499999999999993" customHeight="1" x14ac:dyDescent="0.25">
      <c r="A33" s="549">
        <f t="shared" ref="A33" si="26">1+A30</f>
        <v>9</v>
      </c>
      <c r="B33" s="573">
        <f t="shared" ref="B33" ca="1" si="27">IF(ISBLANK(INDIRECT(ADDRESS(5+(ROW()-9)/3,2,,,"Стартовая ведомость"))),"",INDIRECT(ADDRESS(5+(ROW()-9)/3,2,,,"Стартовая ведомость")))</f>
        <v>9</v>
      </c>
      <c r="C33" s="196"/>
      <c r="D33" s="196"/>
      <c r="E33" s="188"/>
      <c r="F33" s="188"/>
      <c r="G33" s="189"/>
      <c r="H33" s="188"/>
      <c r="I33" s="188"/>
      <c r="J33" s="188"/>
      <c r="K33" s="188"/>
      <c r="L33" s="189"/>
      <c r="M33" s="574" t="str">
        <f t="shared" ref="M33" ca="1" si="28">IF(INDIRECT(ADDRESS(5+(ROW()-9)/3,7,,,"Стартовая ведомость"))="Pro","Выдать ДК","")</f>
        <v/>
      </c>
      <c r="N33" s="575"/>
      <c r="O33" s="575"/>
      <c r="P33" s="575"/>
      <c r="Q33" s="575"/>
      <c r="R33" s="575"/>
      <c r="S33" s="575"/>
      <c r="T33" s="575"/>
      <c r="U33" s="575"/>
      <c r="V33" s="575"/>
      <c r="W33" s="575"/>
      <c r="X33" s="575"/>
      <c r="Y33" s="576"/>
    </row>
    <row r="34" spans="1:25" s="27" customFormat="1" ht="20.100000000000001" customHeight="1" x14ac:dyDescent="0.25">
      <c r="A34" s="550"/>
      <c r="B34" s="573"/>
      <c r="C34" s="583">
        <f t="shared" ref="C34" ca="1" si="29">IF(ISBLANK(INDIRECT(ADDRESS(5+(ROW()-8)/3,8,,,"Стартовая ведомость"))),"",INDIRECT(ADDRESS(5+(ROW()-8)/3,8,,,"Стартовая ведомость")))</f>
        <v>0.50624999999999998</v>
      </c>
      <c r="D34" s="584"/>
      <c r="E34" s="195"/>
      <c r="F34" s="195"/>
      <c r="G34" s="191"/>
      <c r="H34" s="585" t="s">
        <v>165</v>
      </c>
      <c r="I34" s="586"/>
      <c r="J34" s="195"/>
      <c r="K34" s="195"/>
      <c r="L34" s="191"/>
      <c r="M34" s="577"/>
      <c r="N34" s="578"/>
      <c r="O34" s="578"/>
      <c r="P34" s="578"/>
      <c r="Q34" s="578"/>
      <c r="R34" s="578"/>
      <c r="S34" s="578"/>
      <c r="T34" s="578"/>
      <c r="U34" s="578"/>
      <c r="V34" s="578"/>
      <c r="W34" s="578"/>
      <c r="X34" s="578"/>
      <c r="Y34" s="579"/>
    </row>
    <row r="35" spans="1:25" ht="9.75" customHeight="1" x14ac:dyDescent="0.25">
      <c r="A35" s="551"/>
      <c r="B35" s="573"/>
      <c r="C35" s="197"/>
      <c r="D35" s="197"/>
      <c r="E35" s="183"/>
      <c r="F35" s="183"/>
      <c r="G35" s="190"/>
      <c r="H35" s="183"/>
      <c r="I35" s="183"/>
      <c r="J35" s="183"/>
      <c r="K35" s="183"/>
      <c r="L35" s="190"/>
      <c r="M35" s="580"/>
      <c r="N35" s="581"/>
      <c r="O35" s="581"/>
      <c r="P35" s="581"/>
      <c r="Q35" s="581"/>
      <c r="R35" s="581"/>
      <c r="S35" s="581"/>
      <c r="T35" s="581"/>
      <c r="U35" s="581"/>
      <c r="V35" s="581"/>
      <c r="W35" s="581"/>
      <c r="X35" s="581"/>
      <c r="Y35" s="582"/>
    </row>
    <row r="36" spans="1:25" ht="9.9499999999999993" customHeight="1" x14ac:dyDescent="0.25">
      <c r="A36" s="549">
        <f t="shared" ref="A36" si="30">1+A33</f>
        <v>10</v>
      </c>
      <c r="B36" s="573">
        <f t="shared" ref="B36" ca="1" si="31">IF(ISBLANK(INDIRECT(ADDRESS(5+(ROW()-9)/3,2,,,"Стартовая ведомость"))),"",INDIRECT(ADDRESS(5+(ROW()-9)/3,2,,,"Стартовая ведомость")))</f>
        <v>10</v>
      </c>
      <c r="C36" s="196"/>
      <c r="D36" s="196"/>
      <c r="E36" s="188"/>
      <c r="F36" s="188"/>
      <c r="G36" s="189"/>
      <c r="H36" s="188"/>
      <c r="I36" s="188"/>
      <c r="J36" s="188"/>
      <c r="K36" s="188"/>
      <c r="L36" s="189"/>
      <c r="M36" s="574" t="str">
        <f t="shared" ref="M36" ca="1" si="32">IF(INDIRECT(ADDRESS(5+(ROW()-9)/3,7,,,"Стартовая ведомость"))="Pro","Выдать ДК","")</f>
        <v/>
      </c>
      <c r="N36" s="575"/>
      <c r="O36" s="575"/>
      <c r="P36" s="575"/>
      <c r="Q36" s="575"/>
      <c r="R36" s="575"/>
      <c r="S36" s="575"/>
      <c r="T36" s="575"/>
      <c r="U36" s="575"/>
      <c r="V36" s="575"/>
      <c r="W36" s="575"/>
      <c r="X36" s="575"/>
      <c r="Y36" s="576"/>
    </row>
    <row r="37" spans="1:25" s="27" customFormat="1" ht="20.100000000000001" customHeight="1" x14ac:dyDescent="0.25">
      <c r="A37" s="550"/>
      <c r="B37" s="573"/>
      <c r="C37" s="583">
        <f t="shared" ref="C37" ca="1" si="33">IF(ISBLANK(INDIRECT(ADDRESS(5+(ROW()-8)/3,8,,,"Стартовая ведомость"))),"",INDIRECT(ADDRESS(5+(ROW()-8)/3,8,,,"Стартовая ведомость")))</f>
        <v>0.50694444444444442</v>
      </c>
      <c r="D37" s="584"/>
      <c r="E37" s="195"/>
      <c r="F37" s="195"/>
      <c r="G37" s="191"/>
      <c r="H37" s="585" t="s">
        <v>165</v>
      </c>
      <c r="I37" s="586"/>
      <c r="J37" s="195"/>
      <c r="K37" s="195"/>
      <c r="L37" s="191"/>
      <c r="M37" s="577"/>
      <c r="N37" s="578"/>
      <c r="O37" s="578"/>
      <c r="P37" s="578"/>
      <c r="Q37" s="578"/>
      <c r="R37" s="578"/>
      <c r="S37" s="578"/>
      <c r="T37" s="578"/>
      <c r="U37" s="578"/>
      <c r="V37" s="578"/>
      <c r="W37" s="578"/>
      <c r="X37" s="578"/>
      <c r="Y37" s="579"/>
    </row>
    <row r="38" spans="1:25" ht="9.9499999999999993" customHeight="1" x14ac:dyDescent="0.25">
      <c r="A38" s="551"/>
      <c r="B38" s="573"/>
      <c r="C38" s="197"/>
      <c r="D38" s="197"/>
      <c r="E38" s="183"/>
      <c r="F38" s="183"/>
      <c r="G38" s="190"/>
      <c r="H38" s="183"/>
      <c r="I38" s="183"/>
      <c r="J38" s="183"/>
      <c r="K38" s="183"/>
      <c r="L38" s="190"/>
      <c r="M38" s="580"/>
      <c r="N38" s="581"/>
      <c r="O38" s="581"/>
      <c r="P38" s="581"/>
      <c r="Q38" s="581"/>
      <c r="R38" s="581"/>
      <c r="S38" s="581"/>
      <c r="T38" s="581"/>
      <c r="U38" s="581"/>
      <c r="V38" s="581"/>
      <c r="W38" s="581"/>
      <c r="X38" s="581"/>
      <c r="Y38" s="582"/>
    </row>
    <row r="39" spans="1:25" ht="9.9499999999999993" customHeight="1" x14ac:dyDescent="0.25">
      <c r="A39" s="549">
        <f t="shared" ref="A39:A66" si="34">1+A36</f>
        <v>11</v>
      </c>
      <c r="B39" s="573">
        <f t="shared" ref="B39" ca="1" si="35">IF(ISBLANK(INDIRECT(ADDRESS(5+(ROW()-9)/3,2,,,"Стартовая ведомость"))),"",INDIRECT(ADDRESS(5+(ROW()-9)/3,2,,,"Стартовая ведомость")))</f>
        <v>11</v>
      </c>
      <c r="C39" s="196"/>
      <c r="D39" s="196"/>
      <c r="E39" s="188"/>
      <c r="F39" s="188"/>
      <c r="G39" s="189"/>
      <c r="H39" s="188"/>
      <c r="I39" s="188"/>
      <c r="J39" s="188"/>
      <c r="K39" s="188"/>
      <c r="L39" s="189"/>
      <c r="M39" s="574" t="str">
        <f t="shared" ref="M39" ca="1" si="36">IF(INDIRECT(ADDRESS(5+(ROW()-9)/3,7,,,"Стартовая ведомость"))="Pro","Выдать ДК","")</f>
        <v/>
      </c>
      <c r="N39" s="575"/>
      <c r="O39" s="575"/>
      <c r="P39" s="575"/>
      <c r="Q39" s="575"/>
      <c r="R39" s="575"/>
      <c r="S39" s="575"/>
      <c r="T39" s="575"/>
      <c r="U39" s="575"/>
      <c r="V39" s="575"/>
      <c r="W39" s="575"/>
      <c r="X39" s="575"/>
      <c r="Y39" s="576"/>
    </row>
    <row r="40" spans="1:25" s="27" customFormat="1" ht="20.100000000000001" customHeight="1" x14ac:dyDescent="0.25">
      <c r="A40" s="550"/>
      <c r="B40" s="573"/>
      <c r="C40" s="583">
        <f t="shared" ref="C40" ca="1" si="37">IF(ISBLANK(INDIRECT(ADDRESS(5+(ROW()-8)/3,8,,,"Стартовая ведомость"))),"",INDIRECT(ADDRESS(5+(ROW()-8)/3,8,,,"Стартовая ведомость")))</f>
        <v>0.50763888888888886</v>
      </c>
      <c r="D40" s="584"/>
      <c r="E40" s="195"/>
      <c r="F40" s="195"/>
      <c r="G40" s="191"/>
      <c r="H40" s="585" t="s">
        <v>165</v>
      </c>
      <c r="I40" s="586"/>
      <c r="J40" s="195"/>
      <c r="K40" s="195"/>
      <c r="L40" s="191"/>
      <c r="M40" s="577"/>
      <c r="N40" s="578"/>
      <c r="O40" s="578"/>
      <c r="P40" s="578"/>
      <c r="Q40" s="578"/>
      <c r="R40" s="578"/>
      <c r="S40" s="578"/>
      <c r="T40" s="578"/>
      <c r="U40" s="578"/>
      <c r="V40" s="578"/>
      <c r="W40" s="578"/>
      <c r="X40" s="578"/>
      <c r="Y40" s="579"/>
    </row>
    <row r="41" spans="1:25" ht="9.9499999999999993" customHeight="1" x14ac:dyDescent="0.25">
      <c r="A41" s="551"/>
      <c r="B41" s="573"/>
      <c r="C41" s="197"/>
      <c r="D41" s="197"/>
      <c r="E41" s="183"/>
      <c r="F41" s="183"/>
      <c r="G41" s="190"/>
      <c r="H41" s="183"/>
      <c r="I41" s="183"/>
      <c r="J41" s="183"/>
      <c r="K41" s="183"/>
      <c r="L41" s="190"/>
      <c r="M41" s="580"/>
      <c r="N41" s="581"/>
      <c r="O41" s="581"/>
      <c r="P41" s="581"/>
      <c r="Q41" s="581"/>
      <c r="R41" s="581"/>
      <c r="S41" s="581"/>
      <c r="T41" s="581"/>
      <c r="U41" s="581"/>
      <c r="V41" s="581"/>
      <c r="W41" s="581"/>
      <c r="X41" s="581"/>
      <c r="Y41" s="582"/>
    </row>
    <row r="42" spans="1:25" ht="9.9499999999999993" customHeight="1" x14ac:dyDescent="0.25">
      <c r="A42" s="549">
        <f t="shared" si="34"/>
        <v>12</v>
      </c>
      <c r="B42" s="573">
        <f t="shared" ref="B42" ca="1" si="38">IF(ISBLANK(INDIRECT(ADDRESS(5+(ROW()-9)/3,2,,,"Стартовая ведомость"))),"",INDIRECT(ADDRESS(5+(ROW()-9)/3,2,,,"Стартовая ведомость")))</f>
        <v>12</v>
      </c>
      <c r="C42" s="196"/>
      <c r="D42" s="196"/>
      <c r="E42" s="188"/>
      <c r="F42" s="188"/>
      <c r="G42" s="189"/>
      <c r="H42" s="188"/>
      <c r="I42" s="188"/>
      <c r="J42" s="188"/>
      <c r="K42" s="188"/>
      <c r="L42" s="189"/>
      <c r="M42" s="574" t="str">
        <f t="shared" ref="M42" ca="1" si="39">IF(INDIRECT(ADDRESS(5+(ROW()-9)/3,7,,,"Стартовая ведомость"))="Pro","Выдать ДК","")</f>
        <v/>
      </c>
      <c r="N42" s="575"/>
      <c r="O42" s="575"/>
      <c r="P42" s="575"/>
      <c r="Q42" s="575"/>
      <c r="R42" s="575"/>
      <c r="S42" s="575"/>
      <c r="T42" s="575"/>
      <c r="U42" s="575"/>
      <c r="V42" s="575"/>
      <c r="W42" s="575"/>
      <c r="X42" s="575"/>
      <c r="Y42" s="576"/>
    </row>
    <row r="43" spans="1:25" s="27" customFormat="1" ht="20.100000000000001" customHeight="1" x14ac:dyDescent="0.25">
      <c r="A43" s="550"/>
      <c r="B43" s="573"/>
      <c r="C43" s="583">
        <f t="shared" ref="C43" ca="1" si="40">IF(ISBLANK(INDIRECT(ADDRESS(5+(ROW()-8)/3,8,,,"Стартовая ведомость"))),"",INDIRECT(ADDRESS(5+(ROW()-8)/3,8,,,"Стартовая ведомость")))</f>
        <v>0.5083333333333333</v>
      </c>
      <c r="D43" s="584"/>
      <c r="E43" s="195"/>
      <c r="F43" s="195"/>
      <c r="G43" s="191"/>
      <c r="H43" s="585" t="s">
        <v>165</v>
      </c>
      <c r="I43" s="586"/>
      <c r="J43" s="195"/>
      <c r="K43" s="195"/>
      <c r="L43" s="191"/>
      <c r="M43" s="577"/>
      <c r="N43" s="578"/>
      <c r="O43" s="578"/>
      <c r="P43" s="578"/>
      <c r="Q43" s="578"/>
      <c r="R43" s="578"/>
      <c r="S43" s="578"/>
      <c r="T43" s="578"/>
      <c r="U43" s="578"/>
      <c r="V43" s="578"/>
      <c r="W43" s="578"/>
      <c r="X43" s="578"/>
      <c r="Y43" s="579"/>
    </row>
    <row r="44" spans="1:25" ht="9.9499999999999993" customHeight="1" x14ac:dyDescent="0.25">
      <c r="A44" s="551"/>
      <c r="B44" s="573"/>
      <c r="C44" s="197"/>
      <c r="D44" s="197"/>
      <c r="E44" s="183"/>
      <c r="F44" s="183"/>
      <c r="G44" s="190"/>
      <c r="H44" s="183"/>
      <c r="I44" s="183"/>
      <c r="J44" s="183"/>
      <c r="K44" s="183"/>
      <c r="L44" s="190"/>
      <c r="M44" s="580"/>
      <c r="N44" s="581"/>
      <c r="O44" s="581"/>
      <c r="P44" s="581"/>
      <c r="Q44" s="581"/>
      <c r="R44" s="581"/>
      <c r="S44" s="581"/>
      <c r="T44" s="581"/>
      <c r="U44" s="581"/>
      <c r="V44" s="581"/>
      <c r="W44" s="581"/>
      <c r="X44" s="581"/>
      <c r="Y44" s="582"/>
    </row>
    <row r="45" spans="1:25" ht="9.9499999999999993" customHeight="1" x14ac:dyDescent="0.25">
      <c r="A45" s="549">
        <f t="shared" si="34"/>
        <v>13</v>
      </c>
      <c r="B45" s="573">
        <f t="shared" ref="B45" ca="1" si="41">IF(ISBLANK(INDIRECT(ADDRESS(5+(ROW()-9)/3,2,,,"Стартовая ведомость"))),"",INDIRECT(ADDRESS(5+(ROW()-9)/3,2,,,"Стартовая ведомость")))</f>
        <v>13</v>
      </c>
      <c r="C45" s="196"/>
      <c r="D45" s="196"/>
      <c r="E45" s="188"/>
      <c r="F45" s="188"/>
      <c r="G45" s="189"/>
      <c r="H45" s="188"/>
      <c r="I45" s="188"/>
      <c r="J45" s="188"/>
      <c r="K45" s="188"/>
      <c r="L45" s="189"/>
      <c r="M45" s="574" t="str">
        <f t="shared" ref="M45" ca="1" si="42">IF(INDIRECT(ADDRESS(5+(ROW()-9)/3,7,,,"Стартовая ведомость"))="Pro","Выдать ДК","")</f>
        <v/>
      </c>
      <c r="N45" s="575"/>
      <c r="O45" s="575"/>
      <c r="P45" s="575"/>
      <c r="Q45" s="575"/>
      <c r="R45" s="575"/>
      <c r="S45" s="575"/>
      <c r="T45" s="575"/>
      <c r="U45" s="575"/>
      <c r="V45" s="575"/>
      <c r="W45" s="575"/>
      <c r="X45" s="575"/>
      <c r="Y45" s="576"/>
    </row>
    <row r="46" spans="1:25" s="27" customFormat="1" ht="20.100000000000001" customHeight="1" x14ac:dyDescent="0.25">
      <c r="A46" s="550"/>
      <c r="B46" s="573"/>
      <c r="C46" s="583">
        <f t="shared" ref="C46" ca="1" si="43">IF(ISBLANK(INDIRECT(ADDRESS(5+(ROW()-8)/3,8,,,"Стартовая ведомость"))),"",INDIRECT(ADDRESS(5+(ROW()-8)/3,8,,,"Стартовая ведомость")))</f>
        <v>0.50902777777777775</v>
      </c>
      <c r="D46" s="584"/>
      <c r="E46" s="195"/>
      <c r="F46" s="195"/>
      <c r="G46" s="191"/>
      <c r="H46" s="585" t="s">
        <v>165</v>
      </c>
      <c r="I46" s="586"/>
      <c r="J46" s="195"/>
      <c r="K46" s="195"/>
      <c r="L46" s="191"/>
      <c r="M46" s="577"/>
      <c r="N46" s="578"/>
      <c r="O46" s="578"/>
      <c r="P46" s="578"/>
      <c r="Q46" s="578"/>
      <c r="R46" s="578"/>
      <c r="S46" s="578"/>
      <c r="T46" s="578"/>
      <c r="U46" s="578"/>
      <c r="V46" s="578"/>
      <c r="W46" s="578"/>
      <c r="X46" s="578"/>
      <c r="Y46" s="579"/>
    </row>
    <row r="47" spans="1:25" ht="9.9499999999999993" customHeight="1" x14ac:dyDescent="0.25">
      <c r="A47" s="551"/>
      <c r="B47" s="573"/>
      <c r="C47" s="197"/>
      <c r="D47" s="197"/>
      <c r="E47" s="183"/>
      <c r="F47" s="183"/>
      <c r="G47" s="190"/>
      <c r="H47" s="183"/>
      <c r="I47" s="183"/>
      <c r="J47" s="183"/>
      <c r="K47" s="183"/>
      <c r="L47" s="190"/>
      <c r="M47" s="580"/>
      <c r="N47" s="581"/>
      <c r="O47" s="581"/>
      <c r="P47" s="581"/>
      <c r="Q47" s="581"/>
      <c r="R47" s="581"/>
      <c r="S47" s="581"/>
      <c r="T47" s="581"/>
      <c r="U47" s="581"/>
      <c r="V47" s="581"/>
      <c r="W47" s="581"/>
      <c r="X47" s="581"/>
      <c r="Y47" s="582"/>
    </row>
    <row r="48" spans="1:25" ht="9.9499999999999993" customHeight="1" x14ac:dyDescent="0.25">
      <c r="A48" s="549">
        <f t="shared" si="34"/>
        <v>14</v>
      </c>
      <c r="B48" s="573">
        <f t="shared" ref="B48" ca="1" si="44">IF(ISBLANK(INDIRECT(ADDRESS(5+(ROW()-9)/3,2,,,"Стартовая ведомость"))),"",INDIRECT(ADDRESS(5+(ROW()-9)/3,2,,,"Стартовая ведомость")))</f>
        <v>14</v>
      </c>
      <c r="C48" s="196"/>
      <c r="D48" s="196"/>
      <c r="E48" s="188"/>
      <c r="F48" s="188"/>
      <c r="G48" s="189"/>
      <c r="H48" s="188"/>
      <c r="I48" s="188"/>
      <c r="J48" s="188"/>
      <c r="K48" s="188"/>
      <c r="L48" s="189"/>
      <c r="M48" s="574" t="str">
        <f t="shared" ref="M48" ca="1" si="45">IF(INDIRECT(ADDRESS(5+(ROW()-9)/3,7,,,"Стартовая ведомость"))="Pro","Выдать ДК","")</f>
        <v/>
      </c>
      <c r="N48" s="575"/>
      <c r="O48" s="575"/>
      <c r="P48" s="575"/>
      <c r="Q48" s="575"/>
      <c r="R48" s="575"/>
      <c r="S48" s="575"/>
      <c r="T48" s="575"/>
      <c r="U48" s="575"/>
      <c r="V48" s="575"/>
      <c r="W48" s="575"/>
      <c r="X48" s="575"/>
      <c r="Y48" s="576"/>
    </row>
    <row r="49" spans="1:25" s="27" customFormat="1" ht="20.100000000000001" customHeight="1" x14ac:dyDescent="0.25">
      <c r="A49" s="550"/>
      <c r="B49" s="573"/>
      <c r="C49" s="583">
        <f t="shared" ref="C49" ca="1" si="46">IF(ISBLANK(INDIRECT(ADDRESS(5+(ROW()-8)/3,8,,,"Стартовая ведомость"))),"",INDIRECT(ADDRESS(5+(ROW()-8)/3,8,,,"Стартовая ведомость")))</f>
        <v>0.50972222222222219</v>
      </c>
      <c r="D49" s="584"/>
      <c r="E49" s="195"/>
      <c r="F49" s="195"/>
      <c r="G49" s="191"/>
      <c r="H49" s="585" t="s">
        <v>165</v>
      </c>
      <c r="I49" s="586"/>
      <c r="J49" s="195"/>
      <c r="K49" s="195"/>
      <c r="L49" s="191"/>
      <c r="M49" s="577"/>
      <c r="N49" s="578"/>
      <c r="O49" s="578"/>
      <c r="P49" s="578"/>
      <c r="Q49" s="578"/>
      <c r="R49" s="578"/>
      <c r="S49" s="578"/>
      <c r="T49" s="578"/>
      <c r="U49" s="578"/>
      <c r="V49" s="578"/>
      <c r="W49" s="578"/>
      <c r="X49" s="578"/>
      <c r="Y49" s="579"/>
    </row>
    <row r="50" spans="1:25" ht="9.9499999999999993" customHeight="1" x14ac:dyDescent="0.25">
      <c r="A50" s="551"/>
      <c r="B50" s="573"/>
      <c r="C50" s="197"/>
      <c r="D50" s="197"/>
      <c r="E50" s="183"/>
      <c r="F50" s="183"/>
      <c r="G50" s="190"/>
      <c r="H50" s="183"/>
      <c r="I50" s="183"/>
      <c r="J50" s="183"/>
      <c r="K50" s="183"/>
      <c r="L50" s="190"/>
      <c r="M50" s="580"/>
      <c r="N50" s="581"/>
      <c r="O50" s="581"/>
      <c r="P50" s="581"/>
      <c r="Q50" s="581"/>
      <c r="R50" s="581"/>
      <c r="S50" s="581"/>
      <c r="T50" s="581"/>
      <c r="U50" s="581"/>
      <c r="V50" s="581"/>
      <c r="W50" s="581"/>
      <c r="X50" s="581"/>
      <c r="Y50" s="582"/>
    </row>
    <row r="51" spans="1:25" ht="9.9499999999999993" customHeight="1" x14ac:dyDescent="0.25">
      <c r="A51" s="549">
        <f t="shared" si="34"/>
        <v>15</v>
      </c>
      <c r="B51" s="573">
        <f t="shared" ref="B51" ca="1" si="47">IF(ISBLANK(INDIRECT(ADDRESS(5+(ROW()-9)/3,2,,,"Стартовая ведомость"))),"",INDIRECT(ADDRESS(5+(ROW()-9)/3,2,,,"Стартовая ведомость")))</f>
        <v>15</v>
      </c>
      <c r="C51" s="196"/>
      <c r="D51" s="196"/>
      <c r="E51" s="188"/>
      <c r="F51" s="188"/>
      <c r="G51" s="189"/>
      <c r="H51" s="188"/>
      <c r="I51" s="188"/>
      <c r="J51" s="188"/>
      <c r="K51" s="188"/>
      <c r="L51" s="189"/>
      <c r="M51" s="574" t="str">
        <f t="shared" ref="M51" ca="1" si="48">IF(INDIRECT(ADDRESS(5+(ROW()-9)/3,7,,,"Стартовая ведомость"))="Pro","Выдать ДК","")</f>
        <v/>
      </c>
      <c r="N51" s="575"/>
      <c r="O51" s="575"/>
      <c r="P51" s="575"/>
      <c r="Q51" s="575"/>
      <c r="R51" s="575"/>
      <c r="S51" s="575"/>
      <c r="T51" s="575"/>
      <c r="U51" s="575"/>
      <c r="V51" s="575"/>
      <c r="W51" s="575"/>
      <c r="X51" s="575"/>
      <c r="Y51" s="576"/>
    </row>
    <row r="52" spans="1:25" s="27" customFormat="1" ht="20.100000000000001" customHeight="1" x14ac:dyDescent="0.25">
      <c r="A52" s="550"/>
      <c r="B52" s="573"/>
      <c r="C52" s="583">
        <f t="shared" ref="C52" ca="1" si="49">IF(ISBLANK(INDIRECT(ADDRESS(5+(ROW()-8)/3,8,,,"Стартовая ведомость"))),"",INDIRECT(ADDRESS(5+(ROW()-8)/3,8,,,"Стартовая ведомость")))</f>
        <v>0.51041666666666663</v>
      </c>
      <c r="D52" s="584"/>
      <c r="E52" s="195"/>
      <c r="F52" s="195"/>
      <c r="G52" s="191"/>
      <c r="H52" s="585" t="s">
        <v>165</v>
      </c>
      <c r="I52" s="586"/>
      <c r="J52" s="195"/>
      <c r="K52" s="195"/>
      <c r="L52" s="191"/>
      <c r="M52" s="577"/>
      <c r="N52" s="578"/>
      <c r="O52" s="578"/>
      <c r="P52" s="578"/>
      <c r="Q52" s="578"/>
      <c r="R52" s="578"/>
      <c r="S52" s="578"/>
      <c r="T52" s="578"/>
      <c r="U52" s="578"/>
      <c r="V52" s="578"/>
      <c r="W52" s="578"/>
      <c r="X52" s="578"/>
      <c r="Y52" s="579"/>
    </row>
    <row r="53" spans="1:25" ht="9.9499999999999993" customHeight="1" x14ac:dyDescent="0.25">
      <c r="A53" s="551"/>
      <c r="B53" s="573"/>
      <c r="C53" s="197"/>
      <c r="D53" s="197"/>
      <c r="E53" s="183"/>
      <c r="F53" s="183"/>
      <c r="G53" s="190"/>
      <c r="H53" s="183"/>
      <c r="I53" s="183"/>
      <c r="J53" s="183"/>
      <c r="K53" s="183"/>
      <c r="L53" s="190"/>
      <c r="M53" s="580"/>
      <c r="N53" s="581"/>
      <c r="O53" s="581"/>
      <c r="P53" s="581"/>
      <c r="Q53" s="581"/>
      <c r="R53" s="581"/>
      <c r="S53" s="581"/>
      <c r="T53" s="581"/>
      <c r="U53" s="581"/>
      <c r="V53" s="581"/>
      <c r="W53" s="581"/>
      <c r="X53" s="581"/>
      <c r="Y53" s="582"/>
    </row>
    <row r="54" spans="1:25" ht="9.9499999999999993" customHeight="1" x14ac:dyDescent="0.25">
      <c r="A54" s="549">
        <f t="shared" si="34"/>
        <v>16</v>
      </c>
      <c r="B54" s="573">
        <f t="shared" ref="B54" ca="1" si="50">IF(ISBLANK(INDIRECT(ADDRESS(5+(ROW()-9)/3,2,,,"Стартовая ведомость"))),"",INDIRECT(ADDRESS(5+(ROW()-9)/3,2,,,"Стартовая ведомость")))</f>
        <v>16</v>
      </c>
      <c r="C54" s="196"/>
      <c r="D54" s="196"/>
      <c r="E54" s="188"/>
      <c r="F54" s="188"/>
      <c r="G54" s="189"/>
      <c r="H54" s="188"/>
      <c r="I54" s="188"/>
      <c r="J54" s="188"/>
      <c r="K54" s="188"/>
      <c r="L54" s="189"/>
      <c r="M54" s="574" t="str">
        <f t="shared" ref="M54" ca="1" si="51">IF(INDIRECT(ADDRESS(5+(ROW()-9)/3,7,,,"Стартовая ведомость"))="Pro","Выдать ДК","")</f>
        <v/>
      </c>
      <c r="N54" s="575"/>
      <c r="O54" s="575"/>
      <c r="P54" s="575"/>
      <c r="Q54" s="575"/>
      <c r="R54" s="575"/>
      <c r="S54" s="575"/>
      <c r="T54" s="575"/>
      <c r="U54" s="575"/>
      <c r="V54" s="575"/>
      <c r="W54" s="575"/>
      <c r="X54" s="575"/>
      <c r="Y54" s="576"/>
    </row>
    <row r="55" spans="1:25" s="27" customFormat="1" ht="20.100000000000001" customHeight="1" x14ac:dyDescent="0.25">
      <c r="A55" s="550"/>
      <c r="B55" s="573"/>
      <c r="C55" s="583">
        <f t="shared" ref="C55" ca="1" si="52">IF(ISBLANK(INDIRECT(ADDRESS(5+(ROW()-8)/3,8,,,"Стартовая ведомость"))),"",INDIRECT(ADDRESS(5+(ROW()-8)/3,8,,,"Стартовая ведомость")))</f>
        <v>0.51111111111111118</v>
      </c>
      <c r="D55" s="584"/>
      <c r="E55" s="195"/>
      <c r="F55" s="195"/>
      <c r="G55" s="191"/>
      <c r="H55" s="585" t="s">
        <v>165</v>
      </c>
      <c r="I55" s="586"/>
      <c r="J55" s="195"/>
      <c r="K55" s="195"/>
      <c r="L55" s="191"/>
      <c r="M55" s="577"/>
      <c r="N55" s="578"/>
      <c r="O55" s="578"/>
      <c r="P55" s="578"/>
      <c r="Q55" s="578"/>
      <c r="R55" s="578"/>
      <c r="S55" s="578"/>
      <c r="T55" s="578"/>
      <c r="U55" s="578"/>
      <c r="V55" s="578"/>
      <c r="W55" s="578"/>
      <c r="X55" s="578"/>
      <c r="Y55" s="579"/>
    </row>
    <row r="56" spans="1:25" ht="9.9499999999999993" customHeight="1" x14ac:dyDescent="0.25">
      <c r="A56" s="551"/>
      <c r="B56" s="573"/>
      <c r="C56" s="197"/>
      <c r="D56" s="197"/>
      <c r="E56" s="183"/>
      <c r="F56" s="183"/>
      <c r="G56" s="190"/>
      <c r="H56" s="183"/>
      <c r="I56" s="183"/>
      <c r="J56" s="183"/>
      <c r="K56" s="183"/>
      <c r="L56" s="190"/>
      <c r="M56" s="580"/>
      <c r="N56" s="581"/>
      <c r="O56" s="581"/>
      <c r="P56" s="581"/>
      <c r="Q56" s="581"/>
      <c r="R56" s="581"/>
      <c r="S56" s="581"/>
      <c r="T56" s="581"/>
      <c r="U56" s="581"/>
      <c r="V56" s="581"/>
      <c r="W56" s="581"/>
      <c r="X56" s="581"/>
      <c r="Y56" s="582"/>
    </row>
    <row r="57" spans="1:25" ht="9.9499999999999993" customHeight="1" x14ac:dyDescent="0.25">
      <c r="A57" s="549">
        <f t="shared" si="34"/>
        <v>17</v>
      </c>
      <c r="B57" s="573">
        <f t="shared" ref="B57" ca="1" si="53">IF(ISBLANK(INDIRECT(ADDRESS(5+(ROW()-9)/3,2,,,"Стартовая ведомость"))),"",INDIRECT(ADDRESS(5+(ROW()-9)/3,2,,,"Стартовая ведомость")))</f>
        <v>17</v>
      </c>
      <c r="C57" s="196"/>
      <c r="D57" s="196"/>
      <c r="E57" s="188"/>
      <c r="F57" s="188"/>
      <c r="G57" s="189"/>
      <c r="H57" s="188"/>
      <c r="I57" s="188"/>
      <c r="J57" s="188"/>
      <c r="K57" s="188"/>
      <c r="L57" s="189"/>
      <c r="M57" s="574" t="str">
        <f t="shared" ref="M57" ca="1" si="54">IF(INDIRECT(ADDRESS(5+(ROW()-9)/3,7,,,"Стартовая ведомость"))="Pro","Выдать ДК","")</f>
        <v/>
      </c>
      <c r="N57" s="575"/>
      <c r="O57" s="575"/>
      <c r="P57" s="575"/>
      <c r="Q57" s="575"/>
      <c r="R57" s="575"/>
      <c r="S57" s="575"/>
      <c r="T57" s="575"/>
      <c r="U57" s="575"/>
      <c r="V57" s="575"/>
      <c r="W57" s="575"/>
      <c r="X57" s="575"/>
      <c r="Y57" s="576"/>
    </row>
    <row r="58" spans="1:25" s="27" customFormat="1" ht="20.100000000000001" customHeight="1" x14ac:dyDescent="0.25">
      <c r="A58" s="550"/>
      <c r="B58" s="573"/>
      <c r="C58" s="583">
        <f t="shared" ref="C58" ca="1" si="55">IF(ISBLANK(INDIRECT(ADDRESS(5+(ROW()-8)/3,8,,,"Стартовая ведомость"))),"",INDIRECT(ADDRESS(5+(ROW()-8)/3,8,,,"Стартовая ведомость")))</f>
        <v>0.51180555555555551</v>
      </c>
      <c r="D58" s="584"/>
      <c r="E58" s="195"/>
      <c r="F58" s="195"/>
      <c r="G58" s="191"/>
      <c r="H58" s="585" t="s">
        <v>165</v>
      </c>
      <c r="I58" s="586"/>
      <c r="J58" s="195"/>
      <c r="K58" s="195"/>
      <c r="L58" s="191"/>
      <c r="M58" s="577"/>
      <c r="N58" s="578"/>
      <c r="O58" s="578"/>
      <c r="P58" s="578"/>
      <c r="Q58" s="578"/>
      <c r="R58" s="578"/>
      <c r="S58" s="578"/>
      <c r="T58" s="578"/>
      <c r="U58" s="578"/>
      <c r="V58" s="578"/>
      <c r="W58" s="578"/>
      <c r="X58" s="578"/>
      <c r="Y58" s="579"/>
    </row>
    <row r="59" spans="1:25" ht="9.9499999999999993" customHeight="1" x14ac:dyDescent="0.25">
      <c r="A59" s="551"/>
      <c r="B59" s="573"/>
      <c r="C59" s="197"/>
      <c r="D59" s="197"/>
      <c r="E59" s="183"/>
      <c r="F59" s="183"/>
      <c r="G59" s="190"/>
      <c r="H59" s="183"/>
      <c r="I59" s="183"/>
      <c r="J59" s="183"/>
      <c r="K59" s="183"/>
      <c r="L59" s="190"/>
      <c r="M59" s="580"/>
      <c r="N59" s="581"/>
      <c r="O59" s="581"/>
      <c r="P59" s="581"/>
      <c r="Q59" s="581"/>
      <c r="R59" s="581"/>
      <c r="S59" s="581"/>
      <c r="T59" s="581"/>
      <c r="U59" s="581"/>
      <c r="V59" s="581"/>
      <c r="W59" s="581"/>
      <c r="X59" s="581"/>
      <c r="Y59" s="582"/>
    </row>
    <row r="60" spans="1:25" ht="9.9499999999999993" customHeight="1" x14ac:dyDescent="0.25">
      <c r="A60" s="549">
        <f t="shared" si="34"/>
        <v>18</v>
      </c>
      <c r="B60" s="573">
        <f t="shared" ref="B60" ca="1" si="56">IF(ISBLANK(INDIRECT(ADDRESS(5+(ROW()-9)/3,2,,,"Стартовая ведомость"))),"",INDIRECT(ADDRESS(5+(ROW()-9)/3,2,,,"Стартовая ведомость")))</f>
        <v>18</v>
      </c>
      <c r="C60" s="196"/>
      <c r="D60" s="196"/>
      <c r="E60" s="188"/>
      <c r="F60" s="188"/>
      <c r="G60" s="189"/>
      <c r="H60" s="188"/>
      <c r="I60" s="188"/>
      <c r="J60" s="188"/>
      <c r="K60" s="188"/>
      <c r="L60" s="189"/>
      <c r="M60" s="574" t="str">
        <f t="shared" ref="M60" ca="1" si="57">IF(INDIRECT(ADDRESS(5+(ROW()-9)/3,7,,,"Стартовая ведомость"))="Pro","Выдать ДК","")</f>
        <v>Выдать ДК</v>
      </c>
      <c r="N60" s="575"/>
      <c r="O60" s="575"/>
      <c r="P60" s="575"/>
      <c r="Q60" s="575"/>
      <c r="R60" s="575"/>
      <c r="S60" s="575"/>
      <c r="T60" s="575"/>
      <c r="U60" s="575"/>
      <c r="V60" s="575"/>
      <c r="W60" s="575"/>
      <c r="X60" s="575"/>
      <c r="Y60" s="576"/>
    </row>
    <row r="61" spans="1:25" s="27" customFormat="1" ht="20.100000000000001" customHeight="1" x14ac:dyDescent="0.25">
      <c r="A61" s="550"/>
      <c r="B61" s="573"/>
      <c r="C61" s="583">
        <f t="shared" ref="C61" ca="1" si="58">IF(ISBLANK(INDIRECT(ADDRESS(5+(ROW()-8)/3,8,,,"Стартовая ведомость"))),"",INDIRECT(ADDRESS(5+(ROW()-8)/3,8,,,"Стартовая ведомость")))</f>
        <v>0.51250000000000007</v>
      </c>
      <c r="D61" s="584"/>
      <c r="E61" s="195"/>
      <c r="F61" s="195"/>
      <c r="G61" s="191"/>
      <c r="H61" s="585" t="s">
        <v>165</v>
      </c>
      <c r="I61" s="586"/>
      <c r="J61" s="195"/>
      <c r="K61" s="195"/>
      <c r="L61" s="191"/>
      <c r="M61" s="577"/>
      <c r="N61" s="578"/>
      <c r="O61" s="578"/>
      <c r="P61" s="578"/>
      <c r="Q61" s="578"/>
      <c r="R61" s="578"/>
      <c r="S61" s="578"/>
      <c r="T61" s="578"/>
      <c r="U61" s="578"/>
      <c r="V61" s="578"/>
      <c r="W61" s="578"/>
      <c r="X61" s="578"/>
      <c r="Y61" s="579"/>
    </row>
    <row r="62" spans="1:25" ht="9.9499999999999993" customHeight="1" x14ac:dyDescent="0.25">
      <c r="A62" s="551"/>
      <c r="B62" s="573"/>
      <c r="C62" s="197"/>
      <c r="D62" s="197"/>
      <c r="E62" s="183"/>
      <c r="F62" s="183"/>
      <c r="G62" s="190"/>
      <c r="H62" s="183"/>
      <c r="I62" s="183"/>
      <c r="J62" s="183"/>
      <c r="K62" s="183"/>
      <c r="L62" s="190"/>
      <c r="M62" s="580"/>
      <c r="N62" s="581"/>
      <c r="O62" s="581"/>
      <c r="P62" s="581"/>
      <c r="Q62" s="581"/>
      <c r="R62" s="581"/>
      <c r="S62" s="581"/>
      <c r="T62" s="581"/>
      <c r="U62" s="581"/>
      <c r="V62" s="581"/>
      <c r="W62" s="581"/>
      <c r="X62" s="581"/>
      <c r="Y62" s="582"/>
    </row>
    <row r="63" spans="1:25" ht="9.9499999999999993" customHeight="1" x14ac:dyDescent="0.25">
      <c r="A63" s="549">
        <f t="shared" si="34"/>
        <v>19</v>
      </c>
      <c r="B63" s="573">
        <f t="shared" ref="B63" ca="1" si="59">IF(ISBLANK(INDIRECT(ADDRESS(5+(ROW()-9)/3,2,,,"Стартовая ведомость"))),"",INDIRECT(ADDRESS(5+(ROW()-9)/3,2,,,"Стартовая ведомость")))</f>
        <v>19</v>
      </c>
      <c r="C63" s="196"/>
      <c r="D63" s="196"/>
      <c r="E63" s="188"/>
      <c r="F63" s="188"/>
      <c r="G63" s="189"/>
      <c r="H63" s="188"/>
      <c r="I63" s="188"/>
      <c r="J63" s="188"/>
      <c r="K63" s="188"/>
      <c r="L63" s="189"/>
      <c r="M63" s="574" t="str">
        <f t="shared" ref="M63" ca="1" si="60">IF(INDIRECT(ADDRESS(5+(ROW()-9)/3,7,,,"Стартовая ведомость"))="Pro","Выдать ДК","")</f>
        <v>Выдать ДК</v>
      </c>
      <c r="N63" s="575"/>
      <c r="O63" s="575"/>
      <c r="P63" s="575"/>
      <c r="Q63" s="575"/>
      <c r="R63" s="575"/>
      <c r="S63" s="575"/>
      <c r="T63" s="575"/>
      <c r="U63" s="575"/>
      <c r="V63" s="575"/>
      <c r="W63" s="575"/>
      <c r="X63" s="575"/>
      <c r="Y63" s="576"/>
    </row>
    <row r="64" spans="1:25" s="27" customFormat="1" ht="20.100000000000001" customHeight="1" x14ac:dyDescent="0.25">
      <c r="A64" s="550"/>
      <c r="B64" s="573"/>
      <c r="C64" s="583">
        <f t="shared" ref="C64" ca="1" si="61">IF(ISBLANK(INDIRECT(ADDRESS(5+(ROW()-8)/3,8,,,"Стартовая ведомость"))),"",INDIRECT(ADDRESS(5+(ROW()-8)/3,8,,,"Стартовая ведомость")))</f>
        <v>0.5131944444444444</v>
      </c>
      <c r="D64" s="584"/>
      <c r="E64" s="195"/>
      <c r="F64" s="195"/>
      <c r="G64" s="191"/>
      <c r="H64" s="585" t="s">
        <v>165</v>
      </c>
      <c r="I64" s="586"/>
      <c r="J64" s="195"/>
      <c r="K64" s="195"/>
      <c r="L64" s="191"/>
      <c r="M64" s="577"/>
      <c r="N64" s="578"/>
      <c r="O64" s="578"/>
      <c r="P64" s="578"/>
      <c r="Q64" s="578"/>
      <c r="R64" s="578"/>
      <c r="S64" s="578"/>
      <c r="T64" s="578"/>
      <c r="U64" s="578"/>
      <c r="V64" s="578"/>
      <c r="W64" s="578"/>
      <c r="X64" s="578"/>
      <c r="Y64" s="579"/>
    </row>
    <row r="65" spans="1:25" ht="9.9499999999999993" customHeight="1" x14ac:dyDescent="0.25">
      <c r="A65" s="551"/>
      <c r="B65" s="573"/>
      <c r="C65" s="197"/>
      <c r="D65" s="197"/>
      <c r="E65" s="183"/>
      <c r="F65" s="183"/>
      <c r="G65" s="190"/>
      <c r="H65" s="183"/>
      <c r="I65" s="183"/>
      <c r="J65" s="183"/>
      <c r="K65" s="183"/>
      <c r="L65" s="190"/>
      <c r="M65" s="580"/>
      <c r="N65" s="581"/>
      <c r="O65" s="581"/>
      <c r="P65" s="581"/>
      <c r="Q65" s="581"/>
      <c r="R65" s="581"/>
      <c r="S65" s="581"/>
      <c r="T65" s="581"/>
      <c r="U65" s="581"/>
      <c r="V65" s="581"/>
      <c r="W65" s="581"/>
      <c r="X65" s="581"/>
      <c r="Y65" s="582"/>
    </row>
    <row r="66" spans="1:25" ht="9.9499999999999993" customHeight="1" x14ac:dyDescent="0.25">
      <c r="A66" s="549">
        <f t="shared" si="34"/>
        <v>20</v>
      </c>
      <c r="B66" s="573">
        <f t="shared" ref="B66" ca="1" si="62">IF(ISBLANK(INDIRECT(ADDRESS(5+(ROW()-9)/3,2,,,"Стартовая ведомость"))),"",INDIRECT(ADDRESS(5+(ROW()-9)/3,2,,,"Стартовая ведомость")))</f>
        <v>20</v>
      </c>
      <c r="C66" s="196"/>
      <c r="D66" s="196"/>
      <c r="E66" s="188"/>
      <c r="F66" s="188"/>
      <c r="G66" s="189"/>
      <c r="H66" s="188"/>
      <c r="I66" s="188"/>
      <c r="J66" s="188"/>
      <c r="K66" s="188"/>
      <c r="L66" s="189"/>
      <c r="M66" s="574" t="str">
        <f t="shared" ref="M66" ca="1" si="63">IF(INDIRECT(ADDRESS(5+(ROW()-9)/3,7,,,"Стартовая ведомость"))="Pro","Выдать ДК","")</f>
        <v>Выдать ДК</v>
      </c>
      <c r="N66" s="575"/>
      <c r="O66" s="575"/>
      <c r="P66" s="575"/>
      <c r="Q66" s="575"/>
      <c r="R66" s="575"/>
      <c r="S66" s="575"/>
      <c r="T66" s="575"/>
      <c r="U66" s="575"/>
      <c r="V66" s="575"/>
      <c r="W66" s="575"/>
      <c r="X66" s="575"/>
      <c r="Y66" s="576"/>
    </row>
    <row r="67" spans="1:25" s="27" customFormat="1" ht="20.100000000000001" customHeight="1" x14ac:dyDescent="0.25">
      <c r="A67" s="550"/>
      <c r="B67" s="573"/>
      <c r="C67" s="583">
        <f t="shared" ref="C67" ca="1" si="64">IF(ISBLANK(INDIRECT(ADDRESS(5+(ROW()-8)/3,8,,,"Стартовая ведомость"))),"",INDIRECT(ADDRESS(5+(ROW()-8)/3,8,,,"Стартовая ведомость")))</f>
        <v>0.51388888888888895</v>
      </c>
      <c r="D67" s="584"/>
      <c r="E67" s="195"/>
      <c r="F67" s="195"/>
      <c r="G67" s="191"/>
      <c r="H67" s="585" t="s">
        <v>165</v>
      </c>
      <c r="I67" s="586"/>
      <c r="J67" s="195"/>
      <c r="K67" s="195"/>
      <c r="L67" s="191"/>
      <c r="M67" s="577"/>
      <c r="N67" s="578"/>
      <c r="O67" s="578"/>
      <c r="P67" s="578"/>
      <c r="Q67" s="578"/>
      <c r="R67" s="578"/>
      <c r="S67" s="578"/>
      <c r="T67" s="578"/>
      <c r="U67" s="578"/>
      <c r="V67" s="578"/>
      <c r="W67" s="578"/>
      <c r="X67" s="578"/>
      <c r="Y67" s="579"/>
    </row>
    <row r="68" spans="1:25" ht="9.9499999999999993" customHeight="1" x14ac:dyDescent="0.25">
      <c r="A68" s="551"/>
      <c r="B68" s="573"/>
      <c r="C68" s="197"/>
      <c r="D68" s="197"/>
      <c r="E68" s="183"/>
      <c r="F68" s="183"/>
      <c r="G68" s="190"/>
      <c r="H68" s="183"/>
      <c r="I68" s="183"/>
      <c r="J68" s="183"/>
      <c r="K68" s="183"/>
      <c r="L68" s="190"/>
      <c r="M68" s="580"/>
      <c r="N68" s="581"/>
      <c r="O68" s="581"/>
      <c r="P68" s="581"/>
      <c r="Q68" s="581"/>
      <c r="R68" s="581"/>
      <c r="S68" s="581"/>
      <c r="T68" s="581"/>
      <c r="U68" s="581"/>
      <c r="V68" s="581"/>
      <c r="W68" s="581"/>
      <c r="X68" s="581"/>
      <c r="Y68" s="582"/>
    </row>
    <row r="69" spans="1:25" ht="9.9499999999999993" customHeight="1" x14ac:dyDescent="0.25">
      <c r="A69" s="549">
        <f t="shared" ref="A69:A96" si="65">1+A66</f>
        <v>21</v>
      </c>
      <c r="B69" s="573">
        <f t="shared" ref="B69" ca="1" si="66">IF(ISBLANK(INDIRECT(ADDRESS(5+(ROW()-9)/3,2,,,"Стартовая ведомость"))),"",INDIRECT(ADDRESS(5+(ROW()-9)/3,2,,,"Стартовая ведомость")))</f>
        <v>21</v>
      </c>
      <c r="C69" s="196"/>
      <c r="D69" s="196"/>
      <c r="E69" s="188"/>
      <c r="F69" s="188"/>
      <c r="G69" s="189"/>
      <c r="H69" s="188"/>
      <c r="I69" s="188"/>
      <c r="J69" s="188"/>
      <c r="K69" s="188"/>
      <c r="L69" s="189"/>
      <c r="M69" s="574" t="str">
        <f t="shared" ref="M69" ca="1" si="67">IF(INDIRECT(ADDRESS(5+(ROW()-9)/3,7,,,"Стартовая ведомость"))="Pro","Выдать ДК","")</f>
        <v>Выдать ДК</v>
      </c>
      <c r="N69" s="575"/>
      <c r="O69" s="575"/>
      <c r="P69" s="575"/>
      <c r="Q69" s="575"/>
      <c r="R69" s="575"/>
      <c r="S69" s="575"/>
      <c r="T69" s="575"/>
      <c r="U69" s="575"/>
      <c r="V69" s="575"/>
      <c r="W69" s="575"/>
      <c r="X69" s="575"/>
      <c r="Y69" s="576"/>
    </row>
    <row r="70" spans="1:25" s="27" customFormat="1" ht="20.100000000000001" customHeight="1" x14ac:dyDescent="0.25">
      <c r="A70" s="550"/>
      <c r="B70" s="573"/>
      <c r="C70" s="583">
        <f t="shared" ref="C70" ca="1" si="68">IF(ISBLANK(INDIRECT(ADDRESS(5+(ROW()-8)/3,8,,,"Стартовая ведомость"))),"",INDIRECT(ADDRESS(5+(ROW()-8)/3,8,,,"Стартовая ведомость")))</f>
        <v>0.51458333333333328</v>
      </c>
      <c r="D70" s="584"/>
      <c r="E70" s="195"/>
      <c r="F70" s="195"/>
      <c r="G70" s="191"/>
      <c r="H70" s="585" t="s">
        <v>165</v>
      </c>
      <c r="I70" s="586"/>
      <c r="J70" s="195"/>
      <c r="K70" s="195"/>
      <c r="L70" s="191"/>
      <c r="M70" s="577"/>
      <c r="N70" s="578"/>
      <c r="O70" s="578"/>
      <c r="P70" s="578"/>
      <c r="Q70" s="578"/>
      <c r="R70" s="578"/>
      <c r="S70" s="578"/>
      <c r="T70" s="578"/>
      <c r="U70" s="578"/>
      <c r="V70" s="578"/>
      <c r="W70" s="578"/>
      <c r="X70" s="578"/>
      <c r="Y70" s="579"/>
    </row>
    <row r="71" spans="1:25" ht="9.9499999999999993" customHeight="1" x14ac:dyDescent="0.25">
      <c r="A71" s="551"/>
      <c r="B71" s="573"/>
      <c r="C71" s="197"/>
      <c r="D71" s="197"/>
      <c r="E71" s="183"/>
      <c r="F71" s="183"/>
      <c r="G71" s="190"/>
      <c r="H71" s="183"/>
      <c r="I71" s="183"/>
      <c r="J71" s="183"/>
      <c r="K71" s="183"/>
      <c r="L71" s="190"/>
      <c r="M71" s="580"/>
      <c r="N71" s="581"/>
      <c r="O71" s="581"/>
      <c r="P71" s="581"/>
      <c r="Q71" s="581"/>
      <c r="R71" s="581"/>
      <c r="S71" s="581"/>
      <c r="T71" s="581"/>
      <c r="U71" s="581"/>
      <c r="V71" s="581"/>
      <c r="W71" s="581"/>
      <c r="X71" s="581"/>
      <c r="Y71" s="582"/>
    </row>
    <row r="72" spans="1:25" ht="9.9499999999999993" customHeight="1" x14ac:dyDescent="0.25">
      <c r="A72" s="549">
        <f t="shared" si="65"/>
        <v>22</v>
      </c>
      <c r="B72" s="573">
        <f t="shared" ref="B72" ca="1" si="69">IF(ISBLANK(INDIRECT(ADDRESS(5+(ROW()-9)/3,2,,,"Стартовая ведомость"))),"",INDIRECT(ADDRESS(5+(ROW()-9)/3,2,,,"Стартовая ведомость")))</f>
        <v>22</v>
      </c>
      <c r="C72" s="196"/>
      <c r="D72" s="196"/>
      <c r="E72" s="188"/>
      <c r="F72" s="188"/>
      <c r="G72" s="189"/>
      <c r="H72" s="188"/>
      <c r="I72" s="188"/>
      <c r="J72" s="188"/>
      <c r="K72" s="188"/>
      <c r="L72" s="189"/>
      <c r="M72" s="574" t="str">
        <f t="shared" ref="M72" ca="1" si="70">IF(INDIRECT(ADDRESS(5+(ROW()-9)/3,7,,,"Стартовая ведомость"))="Pro","Выдать ДК","")</f>
        <v>Выдать ДК</v>
      </c>
      <c r="N72" s="575"/>
      <c r="O72" s="575"/>
      <c r="P72" s="575"/>
      <c r="Q72" s="575"/>
      <c r="R72" s="575"/>
      <c r="S72" s="575"/>
      <c r="T72" s="575"/>
      <c r="U72" s="575"/>
      <c r="V72" s="575"/>
      <c r="W72" s="575"/>
      <c r="X72" s="575"/>
      <c r="Y72" s="576"/>
    </row>
    <row r="73" spans="1:25" s="27" customFormat="1" ht="20.100000000000001" customHeight="1" x14ac:dyDescent="0.25">
      <c r="A73" s="550"/>
      <c r="B73" s="573"/>
      <c r="C73" s="583">
        <f t="shared" ref="C73" ca="1" si="71">IF(ISBLANK(INDIRECT(ADDRESS(5+(ROW()-8)/3,8,,,"Стартовая ведомость"))),"",INDIRECT(ADDRESS(5+(ROW()-8)/3,8,,,"Стартовая ведомость")))</f>
        <v>0.51527777777777783</v>
      </c>
      <c r="D73" s="584"/>
      <c r="E73" s="195"/>
      <c r="F73" s="195"/>
      <c r="G73" s="191"/>
      <c r="H73" s="585" t="s">
        <v>165</v>
      </c>
      <c r="I73" s="586"/>
      <c r="J73" s="195"/>
      <c r="K73" s="195"/>
      <c r="L73" s="191"/>
      <c r="M73" s="577"/>
      <c r="N73" s="578"/>
      <c r="O73" s="578"/>
      <c r="P73" s="578"/>
      <c r="Q73" s="578"/>
      <c r="R73" s="578"/>
      <c r="S73" s="578"/>
      <c r="T73" s="578"/>
      <c r="U73" s="578"/>
      <c r="V73" s="578"/>
      <c r="W73" s="578"/>
      <c r="X73" s="578"/>
      <c r="Y73" s="579"/>
    </row>
    <row r="74" spans="1:25" ht="9.9499999999999993" customHeight="1" x14ac:dyDescent="0.25">
      <c r="A74" s="551"/>
      <c r="B74" s="573"/>
      <c r="C74" s="197"/>
      <c r="D74" s="197"/>
      <c r="E74" s="183"/>
      <c r="F74" s="183"/>
      <c r="G74" s="190"/>
      <c r="H74" s="183"/>
      <c r="I74" s="183"/>
      <c r="J74" s="183"/>
      <c r="K74" s="183"/>
      <c r="L74" s="190"/>
      <c r="M74" s="580"/>
      <c r="N74" s="581"/>
      <c r="O74" s="581"/>
      <c r="P74" s="581"/>
      <c r="Q74" s="581"/>
      <c r="R74" s="581"/>
      <c r="S74" s="581"/>
      <c r="T74" s="581"/>
      <c r="U74" s="581"/>
      <c r="V74" s="581"/>
      <c r="W74" s="581"/>
      <c r="X74" s="581"/>
      <c r="Y74" s="582"/>
    </row>
    <row r="75" spans="1:25" ht="9.9499999999999993" customHeight="1" x14ac:dyDescent="0.25">
      <c r="A75" s="549">
        <f t="shared" si="65"/>
        <v>23</v>
      </c>
      <c r="B75" s="573">
        <f t="shared" ref="B75" ca="1" si="72">IF(ISBLANK(INDIRECT(ADDRESS(5+(ROW()-9)/3,2,,,"Стартовая ведомость"))),"",INDIRECT(ADDRESS(5+(ROW()-9)/3,2,,,"Стартовая ведомость")))</f>
        <v>23</v>
      </c>
      <c r="C75" s="196"/>
      <c r="D75" s="196"/>
      <c r="E75" s="188"/>
      <c r="F75" s="188"/>
      <c r="G75" s="189"/>
      <c r="H75" s="188"/>
      <c r="I75" s="188"/>
      <c r="J75" s="188"/>
      <c r="K75" s="188"/>
      <c r="L75" s="189"/>
      <c r="M75" s="574" t="str">
        <f t="shared" ref="M75" ca="1" si="73">IF(INDIRECT(ADDRESS(5+(ROW()-9)/3,7,,,"Стартовая ведомость"))="Pro","Выдать ДК","")</f>
        <v>Выдать ДК</v>
      </c>
      <c r="N75" s="575"/>
      <c r="O75" s="575"/>
      <c r="P75" s="575"/>
      <c r="Q75" s="575"/>
      <c r="R75" s="575"/>
      <c r="S75" s="575"/>
      <c r="T75" s="575"/>
      <c r="U75" s="575"/>
      <c r="V75" s="575"/>
      <c r="W75" s="575"/>
      <c r="X75" s="575"/>
      <c r="Y75" s="576"/>
    </row>
    <row r="76" spans="1:25" s="27" customFormat="1" ht="20.100000000000001" customHeight="1" x14ac:dyDescent="0.25">
      <c r="A76" s="550"/>
      <c r="B76" s="573"/>
      <c r="C76" s="583">
        <f t="shared" ref="C76" ca="1" si="74">IF(ISBLANK(INDIRECT(ADDRESS(5+(ROW()-8)/3,8,,,"Стартовая ведомость"))),"",INDIRECT(ADDRESS(5+(ROW()-8)/3,8,,,"Стартовая ведомость")))</f>
        <v>0.51597222222222217</v>
      </c>
      <c r="D76" s="584"/>
      <c r="E76" s="195"/>
      <c r="F76" s="195"/>
      <c r="G76" s="191"/>
      <c r="H76" s="585" t="s">
        <v>165</v>
      </c>
      <c r="I76" s="586"/>
      <c r="J76" s="195"/>
      <c r="K76" s="195"/>
      <c r="L76" s="191"/>
      <c r="M76" s="577"/>
      <c r="N76" s="578"/>
      <c r="O76" s="578"/>
      <c r="P76" s="578"/>
      <c r="Q76" s="578"/>
      <c r="R76" s="578"/>
      <c r="S76" s="578"/>
      <c r="T76" s="578"/>
      <c r="U76" s="578"/>
      <c r="V76" s="578"/>
      <c r="W76" s="578"/>
      <c r="X76" s="578"/>
      <c r="Y76" s="579"/>
    </row>
    <row r="77" spans="1:25" ht="9.9499999999999993" customHeight="1" x14ac:dyDescent="0.25">
      <c r="A77" s="551"/>
      <c r="B77" s="573"/>
      <c r="C77" s="197"/>
      <c r="D77" s="197"/>
      <c r="E77" s="183"/>
      <c r="F77" s="183"/>
      <c r="G77" s="190"/>
      <c r="H77" s="183"/>
      <c r="I77" s="183"/>
      <c r="J77" s="183"/>
      <c r="K77" s="183"/>
      <c r="L77" s="190"/>
      <c r="M77" s="580"/>
      <c r="N77" s="581"/>
      <c r="O77" s="581"/>
      <c r="P77" s="581"/>
      <c r="Q77" s="581"/>
      <c r="R77" s="581"/>
      <c r="S77" s="581"/>
      <c r="T77" s="581"/>
      <c r="U77" s="581"/>
      <c r="V77" s="581"/>
      <c r="W77" s="581"/>
      <c r="X77" s="581"/>
      <c r="Y77" s="582"/>
    </row>
    <row r="78" spans="1:25" ht="9.9499999999999993" customHeight="1" x14ac:dyDescent="0.25">
      <c r="A78" s="549">
        <f t="shared" si="65"/>
        <v>24</v>
      </c>
      <c r="B78" s="573" t="str">
        <f t="shared" ref="B78" ca="1" si="75">IF(ISBLANK(INDIRECT(ADDRESS(5+(ROW()-9)/3,2,,,"Стартовая ведомость"))),"",INDIRECT(ADDRESS(5+(ROW()-9)/3,2,,,"Стартовая ведомость")))</f>
        <v/>
      </c>
      <c r="C78" s="196"/>
      <c r="D78" s="196"/>
      <c r="E78" s="188"/>
      <c r="F78" s="188"/>
      <c r="G78" s="189"/>
      <c r="H78" s="188"/>
      <c r="I78" s="188"/>
      <c r="J78" s="188"/>
      <c r="K78" s="188"/>
      <c r="L78" s="189"/>
      <c r="M78" s="574" t="str">
        <f t="shared" ref="M78" ca="1" si="76">IF(INDIRECT(ADDRESS(5+(ROW()-9)/3,7,,,"Стартовая ведомость"))="Pro","Выдать ДК","")</f>
        <v/>
      </c>
      <c r="N78" s="575"/>
      <c r="O78" s="575"/>
      <c r="P78" s="575"/>
      <c r="Q78" s="575"/>
      <c r="R78" s="575"/>
      <c r="S78" s="575"/>
      <c r="T78" s="575"/>
      <c r="U78" s="575"/>
      <c r="V78" s="575"/>
      <c r="W78" s="575"/>
      <c r="X78" s="575"/>
      <c r="Y78" s="576"/>
    </row>
    <row r="79" spans="1:25" s="27" customFormat="1" ht="20.100000000000001" customHeight="1" x14ac:dyDescent="0.25">
      <c r="A79" s="550"/>
      <c r="B79" s="573"/>
      <c r="C79" s="583" t="str">
        <f t="shared" ref="C79" ca="1" si="77">IF(ISBLANK(INDIRECT(ADDRESS(5+(ROW()-8)/3,8,,,"Стартовая ведомость"))),"",INDIRECT(ADDRESS(5+(ROW()-8)/3,8,,,"Стартовая ведомость")))</f>
        <v/>
      </c>
      <c r="D79" s="584"/>
      <c r="E79" s="195"/>
      <c r="F79" s="195"/>
      <c r="G79" s="191"/>
      <c r="H79" s="585" t="s">
        <v>165</v>
      </c>
      <c r="I79" s="586"/>
      <c r="J79" s="195"/>
      <c r="K79" s="195"/>
      <c r="L79" s="191"/>
      <c r="M79" s="577"/>
      <c r="N79" s="578"/>
      <c r="O79" s="578"/>
      <c r="P79" s="578"/>
      <c r="Q79" s="578"/>
      <c r="R79" s="578"/>
      <c r="S79" s="578"/>
      <c r="T79" s="578"/>
      <c r="U79" s="578"/>
      <c r="V79" s="578"/>
      <c r="W79" s="578"/>
      <c r="X79" s="578"/>
      <c r="Y79" s="579"/>
    </row>
    <row r="80" spans="1:25" ht="9.9499999999999993" customHeight="1" x14ac:dyDescent="0.25">
      <c r="A80" s="551"/>
      <c r="B80" s="573"/>
      <c r="C80" s="197"/>
      <c r="D80" s="197"/>
      <c r="E80" s="183"/>
      <c r="F80" s="183"/>
      <c r="G80" s="190"/>
      <c r="H80" s="183"/>
      <c r="I80" s="183"/>
      <c r="J80" s="183"/>
      <c r="K80" s="183"/>
      <c r="L80" s="190"/>
      <c r="M80" s="580"/>
      <c r="N80" s="581"/>
      <c r="O80" s="581"/>
      <c r="P80" s="581"/>
      <c r="Q80" s="581"/>
      <c r="R80" s="581"/>
      <c r="S80" s="581"/>
      <c r="T80" s="581"/>
      <c r="U80" s="581"/>
      <c r="V80" s="581"/>
      <c r="W80" s="581"/>
      <c r="X80" s="581"/>
      <c r="Y80" s="582"/>
    </row>
    <row r="81" spans="1:25" ht="9.9499999999999993" customHeight="1" x14ac:dyDescent="0.25">
      <c r="A81" s="549">
        <f t="shared" si="65"/>
        <v>25</v>
      </c>
      <c r="B81" s="573" t="str">
        <f t="shared" ref="B81" ca="1" si="78">IF(ISBLANK(INDIRECT(ADDRESS(5+(ROW()-9)/3,2,,,"Стартовая ведомость"))),"",INDIRECT(ADDRESS(5+(ROW()-9)/3,2,,,"Стартовая ведомость")))</f>
        <v/>
      </c>
      <c r="C81" s="196"/>
      <c r="D81" s="196"/>
      <c r="E81" s="188"/>
      <c r="F81" s="188"/>
      <c r="G81" s="189"/>
      <c r="H81" s="188"/>
      <c r="I81" s="188"/>
      <c r="J81" s="188"/>
      <c r="K81" s="188"/>
      <c r="L81" s="189"/>
      <c r="M81" s="574" t="str">
        <f t="shared" ref="M81" ca="1" si="79">IF(INDIRECT(ADDRESS(5+(ROW()-9)/3,7,,,"Стартовая ведомость"))="Pro","Выдать ДК","")</f>
        <v/>
      </c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6"/>
    </row>
    <row r="82" spans="1:25" s="27" customFormat="1" ht="20.100000000000001" customHeight="1" x14ac:dyDescent="0.25">
      <c r="A82" s="550"/>
      <c r="B82" s="573"/>
      <c r="C82" s="583" t="str">
        <f t="shared" ref="C82" ca="1" si="80">IF(ISBLANK(INDIRECT(ADDRESS(5+(ROW()-8)/3,8,,,"Стартовая ведомость"))),"",INDIRECT(ADDRESS(5+(ROW()-8)/3,8,,,"Стартовая ведомость")))</f>
        <v/>
      </c>
      <c r="D82" s="584"/>
      <c r="E82" s="195"/>
      <c r="F82" s="195"/>
      <c r="G82" s="191"/>
      <c r="H82" s="585" t="s">
        <v>165</v>
      </c>
      <c r="I82" s="586"/>
      <c r="J82" s="195"/>
      <c r="K82" s="195"/>
      <c r="L82" s="191"/>
      <c r="M82" s="577"/>
      <c r="N82" s="578"/>
      <c r="O82" s="578"/>
      <c r="P82" s="578"/>
      <c r="Q82" s="578"/>
      <c r="R82" s="578"/>
      <c r="S82" s="578"/>
      <c r="T82" s="578"/>
      <c r="U82" s="578"/>
      <c r="V82" s="578"/>
      <c r="W82" s="578"/>
      <c r="X82" s="578"/>
      <c r="Y82" s="579"/>
    </row>
    <row r="83" spans="1:25" ht="9.9499999999999993" customHeight="1" x14ac:dyDescent="0.25">
      <c r="A83" s="551"/>
      <c r="B83" s="573"/>
      <c r="C83" s="197"/>
      <c r="D83" s="197"/>
      <c r="E83" s="183"/>
      <c r="F83" s="183"/>
      <c r="G83" s="190"/>
      <c r="H83" s="183"/>
      <c r="I83" s="183"/>
      <c r="J83" s="183"/>
      <c r="K83" s="183"/>
      <c r="L83" s="190"/>
      <c r="M83" s="580"/>
      <c r="N83" s="581"/>
      <c r="O83" s="581"/>
      <c r="P83" s="581"/>
      <c r="Q83" s="581"/>
      <c r="R83" s="581"/>
      <c r="S83" s="581"/>
      <c r="T83" s="581"/>
      <c r="U83" s="581"/>
      <c r="V83" s="581"/>
      <c r="W83" s="581"/>
      <c r="X83" s="581"/>
      <c r="Y83" s="582"/>
    </row>
    <row r="84" spans="1:25" ht="9.9499999999999993" customHeight="1" x14ac:dyDescent="0.25">
      <c r="A84" s="549">
        <f t="shared" si="65"/>
        <v>26</v>
      </c>
      <c r="B84" s="573" t="str">
        <f t="shared" ref="B84" ca="1" si="81">IF(ISBLANK(INDIRECT(ADDRESS(5+(ROW()-9)/3,2,,,"Стартовая ведомость"))),"",INDIRECT(ADDRESS(5+(ROW()-9)/3,2,,,"Стартовая ведомость")))</f>
        <v/>
      </c>
      <c r="C84" s="196"/>
      <c r="D84" s="196"/>
      <c r="E84" s="188"/>
      <c r="F84" s="188"/>
      <c r="G84" s="189"/>
      <c r="H84" s="188"/>
      <c r="I84" s="188"/>
      <c r="J84" s="188"/>
      <c r="K84" s="188"/>
      <c r="L84" s="189"/>
      <c r="M84" s="574" t="str">
        <f t="shared" ref="M84" ca="1" si="82">IF(INDIRECT(ADDRESS(5+(ROW()-9)/3,7,,,"Стартовая ведомость"))="Pro","Выдать ДК","")</f>
        <v/>
      </c>
      <c r="N84" s="575"/>
      <c r="O84" s="575"/>
      <c r="P84" s="575"/>
      <c r="Q84" s="575"/>
      <c r="R84" s="575"/>
      <c r="S84" s="575"/>
      <c r="T84" s="575"/>
      <c r="U84" s="575"/>
      <c r="V84" s="575"/>
      <c r="W84" s="575"/>
      <c r="X84" s="575"/>
      <c r="Y84" s="576"/>
    </row>
    <row r="85" spans="1:25" s="27" customFormat="1" ht="20.100000000000001" customHeight="1" x14ac:dyDescent="0.25">
      <c r="A85" s="550"/>
      <c r="B85" s="573"/>
      <c r="C85" s="583" t="str">
        <f t="shared" ref="C85" ca="1" si="83">IF(ISBLANK(INDIRECT(ADDRESS(5+(ROW()-8)/3,8,,,"Стартовая ведомость"))),"",INDIRECT(ADDRESS(5+(ROW()-8)/3,8,,,"Стартовая ведомость")))</f>
        <v/>
      </c>
      <c r="D85" s="584"/>
      <c r="E85" s="195"/>
      <c r="F85" s="195"/>
      <c r="G85" s="191"/>
      <c r="H85" s="585" t="s">
        <v>165</v>
      </c>
      <c r="I85" s="586"/>
      <c r="J85" s="195"/>
      <c r="K85" s="195"/>
      <c r="L85" s="191"/>
      <c r="M85" s="577"/>
      <c r="N85" s="578"/>
      <c r="O85" s="578"/>
      <c r="P85" s="578"/>
      <c r="Q85" s="578"/>
      <c r="R85" s="578"/>
      <c r="S85" s="578"/>
      <c r="T85" s="578"/>
      <c r="U85" s="578"/>
      <c r="V85" s="578"/>
      <c r="W85" s="578"/>
      <c r="X85" s="578"/>
      <c r="Y85" s="579"/>
    </row>
    <row r="86" spans="1:25" ht="9.9499999999999993" customHeight="1" x14ac:dyDescent="0.25">
      <c r="A86" s="551"/>
      <c r="B86" s="573"/>
      <c r="C86" s="197"/>
      <c r="D86" s="197"/>
      <c r="E86" s="183"/>
      <c r="F86" s="183"/>
      <c r="G86" s="190"/>
      <c r="H86" s="183"/>
      <c r="I86" s="183"/>
      <c r="J86" s="183"/>
      <c r="K86" s="183"/>
      <c r="L86" s="190"/>
      <c r="M86" s="580"/>
      <c r="N86" s="581"/>
      <c r="O86" s="581"/>
      <c r="P86" s="581"/>
      <c r="Q86" s="581"/>
      <c r="R86" s="581"/>
      <c r="S86" s="581"/>
      <c r="T86" s="581"/>
      <c r="U86" s="581"/>
      <c r="V86" s="581"/>
      <c r="W86" s="581"/>
      <c r="X86" s="581"/>
      <c r="Y86" s="582"/>
    </row>
    <row r="87" spans="1:25" ht="9.9499999999999993" customHeight="1" x14ac:dyDescent="0.25">
      <c r="A87" s="549">
        <f t="shared" si="65"/>
        <v>27</v>
      </c>
      <c r="B87" s="573" t="str">
        <f t="shared" ref="B87" ca="1" si="84">IF(ISBLANK(INDIRECT(ADDRESS(5+(ROW()-9)/3,2,,,"Стартовая ведомость"))),"",INDIRECT(ADDRESS(5+(ROW()-9)/3,2,,,"Стартовая ведомость")))</f>
        <v/>
      </c>
      <c r="C87" s="196"/>
      <c r="D87" s="196"/>
      <c r="E87" s="188"/>
      <c r="F87" s="188"/>
      <c r="G87" s="189"/>
      <c r="H87" s="188"/>
      <c r="I87" s="188"/>
      <c r="J87" s="188"/>
      <c r="K87" s="188"/>
      <c r="L87" s="189"/>
      <c r="M87" s="574" t="str">
        <f t="shared" ref="M87" ca="1" si="85">IF(INDIRECT(ADDRESS(5+(ROW()-9)/3,7,,,"Стартовая ведомость"))="Pro","Выдать ДК","")</f>
        <v/>
      </c>
      <c r="N87" s="575"/>
      <c r="O87" s="575"/>
      <c r="P87" s="575"/>
      <c r="Q87" s="575"/>
      <c r="R87" s="575"/>
      <c r="S87" s="575"/>
      <c r="T87" s="575"/>
      <c r="U87" s="575"/>
      <c r="V87" s="575"/>
      <c r="W87" s="575"/>
      <c r="X87" s="575"/>
      <c r="Y87" s="576"/>
    </row>
    <row r="88" spans="1:25" s="27" customFormat="1" ht="20.100000000000001" customHeight="1" x14ac:dyDescent="0.25">
      <c r="A88" s="550"/>
      <c r="B88" s="573"/>
      <c r="C88" s="583" t="str">
        <f t="shared" ref="C88" ca="1" si="86">IF(ISBLANK(INDIRECT(ADDRESS(5+(ROW()-8)/3,8,,,"Стартовая ведомость"))),"",INDIRECT(ADDRESS(5+(ROW()-8)/3,8,,,"Стартовая ведомость")))</f>
        <v/>
      </c>
      <c r="D88" s="584"/>
      <c r="E88" s="195"/>
      <c r="F88" s="195"/>
      <c r="G88" s="191"/>
      <c r="H88" s="585" t="s">
        <v>165</v>
      </c>
      <c r="I88" s="586"/>
      <c r="J88" s="195"/>
      <c r="K88" s="195"/>
      <c r="L88" s="191"/>
      <c r="M88" s="577"/>
      <c r="N88" s="578"/>
      <c r="O88" s="578"/>
      <c r="P88" s="578"/>
      <c r="Q88" s="578"/>
      <c r="R88" s="578"/>
      <c r="S88" s="578"/>
      <c r="T88" s="578"/>
      <c r="U88" s="578"/>
      <c r="V88" s="578"/>
      <c r="W88" s="578"/>
      <c r="X88" s="578"/>
      <c r="Y88" s="579"/>
    </row>
    <row r="89" spans="1:25" ht="9.9499999999999993" customHeight="1" x14ac:dyDescent="0.25">
      <c r="A89" s="551"/>
      <c r="B89" s="573"/>
      <c r="C89" s="197"/>
      <c r="D89" s="197"/>
      <c r="E89" s="183"/>
      <c r="F89" s="183"/>
      <c r="G89" s="190"/>
      <c r="H89" s="183"/>
      <c r="I89" s="183"/>
      <c r="J89" s="183"/>
      <c r="K89" s="183"/>
      <c r="L89" s="190"/>
      <c r="M89" s="580"/>
      <c r="N89" s="581"/>
      <c r="O89" s="581"/>
      <c r="P89" s="581"/>
      <c r="Q89" s="581"/>
      <c r="R89" s="581"/>
      <c r="S89" s="581"/>
      <c r="T89" s="581"/>
      <c r="U89" s="581"/>
      <c r="V89" s="581"/>
      <c r="W89" s="581"/>
      <c r="X89" s="581"/>
      <c r="Y89" s="582"/>
    </row>
    <row r="90" spans="1:25" ht="9.9499999999999993" customHeight="1" x14ac:dyDescent="0.25">
      <c r="A90" s="549">
        <f t="shared" si="65"/>
        <v>28</v>
      </c>
      <c r="B90" s="573" t="str">
        <f t="shared" ref="B90" ca="1" si="87">IF(ISBLANK(INDIRECT(ADDRESS(5+(ROW()-9)/3,2,,,"Стартовая ведомость"))),"",INDIRECT(ADDRESS(5+(ROW()-9)/3,2,,,"Стартовая ведомость")))</f>
        <v/>
      </c>
      <c r="C90" s="196"/>
      <c r="D90" s="196"/>
      <c r="E90" s="188"/>
      <c r="F90" s="188"/>
      <c r="G90" s="189"/>
      <c r="H90" s="188"/>
      <c r="I90" s="188"/>
      <c r="J90" s="188"/>
      <c r="K90" s="188"/>
      <c r="L90" s="189"/>
      <c r="M90" s="574" t="str">
        <f t="shared" ref="M90" ca="1" si="88">IF(INDIRECT(ADDRESS(5+(ROW()-9)/3,7,,,"Стартовая ведомость"))="Pro","Выдать ДК","")</f>
        <v/>
      </c>
      <c r="N90" s="575"/>
      <c r="O90" s="575"/>
      <c r="P90" s="575"/>
      <c r="Q90" s="575"/>
      <c r="R90" s="575"/>
      <c r="S90" s="575"/>
      <c r="T90" s="575"/>
      <c r="U90" s="575"/>
      <c r="V90" s="575"/>
      <c r="W90" s="575"/>
      <c r="X90" s="575"/>
      <c r="Y90" s="576"/>
    </row>
    <row r="91" spans="1:25" s="27" customFormat="1" ht="20.100000000000001" customHeight="1" x14ac:dyDescent="0.25">
      <c r="A91" s="550"/>
      <c r="B91" s="573"/>
      <c r="C91" s="583" t="str">
        <f t="shared" ref="C91" ca="1" si="89">IF(ISBLANK(INDIRECT(ADDRESS(5+(ROW()-8)/3,8,,,"Стартовая ведомость"))),"",INDIRECT(ADDRESS(5+(ROW()-8)/3,8,,,"Стартовая ведомость")))</f>
        <v/>
      </c>
      <c r="D91" s="584"/>
      <c r="E91" s="195"/>
      <c r="F91" s="195"/>
      <c r="G91" s="191"/>
      <c r="H91" s="585" t="s">
        <v>165</v>
      </c>
      <c r="I91" s="586"/>
      <c r="J91" s="195"/>
      <c r="K91" s="195"/>
      <c r="L91" s="191"/>
      <c r="M91" s="577"/>
      <c r="N91" s="578"/>
      <c r="O91" s="578"/>
      <c r="P91" s="578"/>
      <c r="Q91" s="578"/>
      <c r="R91" s="578"/>
      <c r="S91" s="578"/>
      <c r="T91" s="578"/>
      <c r="U91" s="578"/>
      <c r="V91" s="578"/>
      <c r="W91" s="578"/>
      <c r="X91" s="578"/>
      <c r="Y91" s="579"/>
    </row>
    <row r="92" spans="1:25" ht="9.9499999999999993" customHeight="1" x14ac:dyDescent="0.25">
      <c r="A92" s="551"/>
      <c r="B92" s="573"/>
      <c r="C92" s="197"/>
      <c r="D92" s="197"/>
      <c r="E92" s="183"/>
      <c r="F92" s="183"/>
      <c r="G92" s="190"/>
      <c r="H92" s="183"/>
      <c r="I92" s="183"/>
      <c r="J92" s="183"/>
      <c r="K92" s="183"/>
      <c r="L92" s="190"/>
      <c r="M92" s="580"/>
      <c r="N92" s="581"/>
      <c r="O92" s="581"/>
      <c r="P92" s="581"/>
      <c r="Q92" s="581"/>
      <c r="R92" s="581"/>
      <c r="S92" s="581"/>
      <c r="T92" s="581"/>
      <c r="U92" s="581"/>
      <c r="V92" s="581"/>
      <c r="W92" s="581"/>
      <c r="X92" s="581"/>
      <c r="Y92" s="582"/>
    </row>
    <row r="93" spans="1:25" ht="9.9499999999999993" customHeight="1" x14ac:dyDescent="0.25">
      <c r="A93" s="549">
        <f t="shared" si="65"/>
        <v>29</v>
      </c>
      <c r="B93" s="573" t="str">
        <f t="shared" ref="B93" ca="1" si="90">IF(ISBLANK(INDIRECT(ADDRESS(5+(ROW()-9)/3,2,,,"Стартовая ведомость"))),"",INDIRECT(ADDRESS(5+(ROW()-9)/3,2,,,"Стартовая ведомость")))</f>
        <v/>
      </c>
      <c r="C93" s="196"/>
      <c r="D93" s="196"/>
      <c r="E93" s="188"/>
      <c r="F93" s="188"/>
      <c r="G93" s="189"/>
      <c r="H93" s="188"/>
      <c r="I93" s="188"/>
      <c r="J93" s="188"/>
      <c r="K93" s="188"/>
      <c r="L93" s="189"/>
      <c r="M93" s="574" t="str">
        <f t="shared" ref="M93" ca="1" si="91">IF(INDIRECT(ADDRESS(5+(ROW()-9)/3,7,,,"Стартовая ведомость"))="Pro","Выдать ДК","")</f>
        <v/>
      </c>
      <c r="N93" s="575"/>
      <c r="O93" s="575"/>
      <c r="P93" s="575"/>
      <c r="Q93" s="575"/>
      <c r="R93" s="575"/>
      <c r="S93" s="575"/>
      <c r="T93" s="575"/>
      <c r="U93" s="575"/>
      <c r="V93" s="575"/>
      <c r="W93" s="575"/>
      <c r="X93" s="575"/>
      <c r="Y93" s="576"/>
    </row>
    <row r="94" spans="1:25" s="27" customFormat="1" ht="20.100000000000001" customHeight="1" x14ac:dyDescent="0.25">
      <c r="A94" s="550"/>
      <c r="B94" s="573"/>
      <c r="C94" s="583" t="str">
        <f t="shared" ref="C94" ca="1" si="92">IF(ISBLANK(INDIRECT(ADDRESS(5+(ROW()-8)/3,8,,,"Стартовая ведомость"))),"",INDIRECT(ADDRESS(5+(ROW()-8)/3,8,,,"Стартовая ведомость")))</f>
        <v/>
      </c>
      <c r="D94" s="584"/>
      <c r="E94" s="195"/>
      <c r="F94" s="195"/>
      <c r="G94" s="191"/>
      <c r="H94" s="585" t="s">
        <v>165</v>
      </c>
      <c r="I94" s="586"/>
      <c r="J94" s="195"/>
      <c r="K94" s="195"/>
      <c r="L94" s="191"/>
      <c r="M94" s="577"/>
      <c r="N94" s="578"/>
      <c r="O94" s="578"/>
      <c r="P94" s="578"/>
      <c r="Q94" s="578"/>
      <c r="R94" s="578"/>
      <c r="S94" s="578"/>
      <c r="T94" s="578"/>
      <c r="U94" s="578"/>
      <c r="V94" s="578"/>
      <c r="W94" s="578"/>
      <c r="X94" s="578"/>
      <c r="Y94" s="579"/>
    </row>
    <row r="95" spans="1:25" ht="9.9499999999999993" customHeight="1" x14ac:dyDescent="0.25">
      <c r="A95" s="551"/>
      <c r="B95" s="573"/>
      <c r="C95" s="197"/>
      <c r="D95" s="197"/>
      <c r="E95" s="183"/>
      <c r="F95" s="183"/>
      <c r="G95" s="190"/>
      <c r="H95" s="183"/>
      <c r="I95" s="183"/>
      <c r="J95" s="183"/>
      <c r="K95" s="183"/>
      <c r="L95" s="190"/>
      <c r="M95" s="580"/>
      <c r="N95" s="581"/>
      <c r="O95" s="581"/>
      <c r="P95" s="581"/>
      <c r="Q95" s="581"/>
      <c r="R95" s="581"/>
      <c r="S95" s="581"/>
      <c r="T95" s="581"/>
      <c r="U95" s="581"/>
      <c r="V95" s="581"/>
      <c r="W95" s="581"/>
      <c r="X95" s="581"/>
      <c r="Y95" s="582"/>
    </row>
    <row r="96" spans="1:25" ht="9.9499999999999993" customHeight="1" x14ac:dyDescent="0.25">
      <c r="A96" s="549">
        <f t="shared" si="65"/>
        <v>30</v>
      </c>
      <c r="B96" s="573" t="str">
        <f t="shared" ref="B96" ca="1" si="93">IF(ISBLANK(INDIRECT(ADDRESS(5+(ROW()-9)/3,2,,,"Стартовая ведомость"))),"",INDIRECT(ADDRESS(5+(ROW()-9)/3,2,,,"Стартовая ведомость")))</f>
        <v/>
      </c>
      <c r="C96" s="196"/>
      <c r="D96" s="196"/>
      <c r="E96" s="188"/>
      <c r="F96" s="188"/>
      <c r="G96" s="189"/>
      <c r="H96" s="188"/>
      <c r="I96" s="188"/>
      <c r="J96" s="188"/>
      <c r="K96" s="188"/>
      <c r="L96" s="189"/>
      <c r="M96" s="574" t="str">
        <f t="shared" ref="M96" ca="1" si="94">IF(INDIRECT(ADDRESS(5+(ROW()-9)/3,7,,,"Стартовая ведомость"))="Pro","Выдать ДК","")</f>
        <v/>
      </c>
      <c r="N96" s="575"/>
      <c r="O96" s="575"/>
      <c r="P96" s="575"/>
      <c r="Q96" s="575"/>
      <c r="R96" s="575"/>
      <c r="S96" s="575"/>
      <c r="T96" s="575"/>
      <c r="U96" s="575"/>
      <c r="V96" s="575"/>
      <c r="W96" s="575"/>
      <c r="X96" s="575"/>
      <c r="Y96" s="576"/>
    </row>
    <row r="97" spans="1:25" s="27" customFormat="1" ht="20.100000000000001" customHeight="1" x14ac:dyDescent="0.25">
      <c r="A97" s="550"/>
      <c r="B97" s="573"/>
      <c r="C97" s="583" t="str">
        <f t="shared" ref="C97" ca="1" si="95">IF(ISBLANK(INDIRECT(ADDRESS(5+(ROW()-8)/3,8,,,"Стартовая ведомость"))),"",INDIRECT(ADDRESS(5+(ROW()-8)/3,8,,,"Стартовая ведомость")))</f>
        <v/>
      </c>
      <c r="D97" s="584"/>
      <c r="E97" s="195"/>
      <c r="F97" s="195"/>
      <c r="G97" s="191"/>
      <c r="H97" s="585" t="s">
        <v>165</v>
      </c>
      <c r="I97" s="586"/>
      <c r="J97" s="195"/>
      <c r="K97" s="195"/>
      <c r="L97" s="191"/>
      <c r="M97" s="577"/>
      <c r="N97" s="578"/>
      <c r="O97" s="578"/>
      <c r="P97" s="578"/>
      <c r="Q97" s="578"/>
      <c r="R97" s="578"/>
      <c r="S97" s="578"/>
      <c r="T97" s="578"/>
      <c r="U97" s="578"/>
      <c r="V97" s="578"/>
      <c r="W97" s="578"/>
      <c r="X97" s="578"/>
      <c r="Y97" s="579"/>
    </row>
    <row r="98" spans="1:25" ht="9.9499999999999993" customHeight="1" x14ac:dyDescent="0.25">
      <c r="A98" s="551"/>
      <c r="B98" s="573"/>
      <c r="C98" s="197"/>
      <c r="D98" s="197"/>
      <c r="E98" s="183"/>
      <c r="F98" s="183"/>
      <c r="G98" s="190"/>
      <c r="H98" s="183"/>
      <c r="I98" s="183"/>
      <c r="J98" s="183"/>
      <c r="K98" s="183"/>
      <c r="L98" s="190"/>
      <c r="M98" s="580"/>
      <c r="N98" s="581"/>
      <c r="O98" s="581"/>
      <c r="P98" s="581"/>
      <c r="Q98" s="581"/>
      <c r="R98" s="581"/>
      <c r="S98" s="581"/>
      <c r="T98" s="581"/>
      <c r="U98" s="581"/>
      <c r="V98" s="581"/>
      <c r="W98" s="581"/>
      <c r="X98" s="581"/>
      <c r="Y98" s="582"/>
    </row>
    <row r="99" spans="1:25" ht="9.9499999999999993" customHeight="1" x14ac:dyDescent="0.25">
      <c r="A99" s="549">
        <f t="shared" ref="A99:A126" si="96">1+A96</f>
        <v>31</v>
      </c>
      <c r="B99" s="573" t="str">
        <f t="shared" ref="B99" ca="1" si="97">IF(ISBLANK(INDIRECT(ADDRESS(5+(ROW()-9)/3,2,,,"Стартовая ведомость"))),"",INDIRECT(ADDRESS(5+(ROW()-9)/3,2,,,"Стартовая ведомость")))</f>
        <v/>
      </c>
      <c r="C99" s="196"/>
      <c r="D99" s="196"/>
      <c r="E99" s="188"/>
      <c r="F99" s="188"/>
      <c r="G99" s="189"/>
      <c r="H99" s="188"/>
      <c r="I99" s="188"/>
      <c r="J99" s="188"/>
      <c r="K99" s="188"/>
      <c r="L99" s="189"/>
      <c r="M99" s="574" t="str">
        <f t="shared" ref="M99" ca="1" si="98">IF(INDIRECT(ADDRESS(5+(ROW()-9)/3,7,,,"Стартовая ведомость"))="Pro","Выдать ДК","")</f>
        <v/>
      </c>
      <c r="N99" s="575"/>
      <c r="O99" s="575"/>
      <c r="P99" s="575"/>
      <c r="Q99" s="575"/>
      <c r="R99" s="575"/>
      <c r="S99" s="575"/>
      <c r="T99" s="575"/>
      <c r="U99" s="575"/>
      <c r="V99" s="575"/>
      <c r="W99" s="575"/>
      <c r="X99" s="575"/>
      <c r="Y99" s="576"/>
    </row>
    <row r="100" spans="1:25" s="27" customFormat="1" ht="20.100000000000001" customHeight="1" x14ac:dyDescent="0.25">
      <c r="A100" s="550"/>
      <c r="B100" s="573"/>
      <c r="C100" s="583" t="str">
        <f t="shared" ref="C100" ca="1" si="99">IF(ISBLANK(INDIRECT(ADDRESS(5+(ROW()-8)/3,8,,,"Стартовая ведомость"))),"",INDIRECT(ADDRESS(5+(ROW()-8)/3,8,,,"Стартовая ведомость")))</f>
        <v/>
      </c>
      <c r="D100" s="584"/>
      <c r="E100" s="195"/>
      <c r="F100" s="195"/>
      <c r="G100" s="191"/>
      <c r="H100" s="585" t="s">
        <v>165</v>
      </c>
      <c r="I100" s="586"/>
      <c r="J100" s="195"/>
      <c r="K100" s="195"/>
      <c r="L100" s="191"/>
      <c r="M100" s="577"/>
      <c r="N100" s="578"/>
      <c r="O100" s="578"/>
      <c r="P100" s="578"/>
      <c r="Q100" s="578"/>
      <c r="R100" s="578"/>
      <c r="S100" s="578"/>
      <c r="T100" s="578"/>
      <c r="U100" s="578"/>
      <c r="V100" s="578"/>
      <c r="W100" s="578"/>
      <c r="X100" s="578"/>
      <c r="Y100" s="579"/>
    </row>
    <row r="101" spans="1:25" ht="9.9499999999999993" customHeight="1" x14ac:dyDescent="0.25">
      <c r="A101" s="551"/>
      <c r="B101" s="573"/>
      <c r="C101" s="197"/>
      <c r="D101" s="197"/>
      <c r="E101" s="183"/>
      <c r="F101" s="183"/>
      <c r="G101" s="190"/>
      <c r="H101" s="183"/>
      <c r="I101" s="183"/>
      <c r="J101" s="183"/>
      <c r="K101" s="183"/>
      <c r="L101" s="190"/>
      <c r="M101" s="580"/>
      <c r="N101" s="581"/>
      <c r="O101" s="581"/>
      <c r="P101" s="581"/>
      <c r="Q101" s="581"/>
      <c r="R101" s="581"/>
      <c r="S101" s="581"/>
      <c r="T101" s="581"/>
      <c r="U101" s="581"/>
      <c r="V101" s="581"/>
      <c r="W101" s="581"/>
      <c r="X101" s="581"/>
      <c r="Y101" s="582"/>
    </row>
    <row r="102" spans="1:25" ht="9.9499999999999993" customHeight="1" x14ac:dyDescent="0.25">
      <c r="A102" s="549">
        <f t="shared" si="96"/>
        <v>32</v>
      </c>
      <c r="B102" s="573" t="str">
        <f t="shared" ref="B102" ca="1" si="100">IF(ISBLANK(INDIRECT(ADDRESS(5+(ROW()-9)/3,2,,,"Стартовая ведомость"))),"",INDIRECT(ADDRESS(5+(ROW()-9)/3,2,,,"Стартовая ведомость")))</f>
        <v/>
      </c>
      <c r="C102" s="196"/>
      <c r="D102" s="196"/>
      <c r="E102" s="188"/>
      <c r="F102" s="188"/>
      <c r="G102" s="189"/>
      <c r="H102" s="188"/>
      <c r="I102" s="188"/>
      <c r="J102" s="188"/>
      <c r="K102" s="188"/>
      <c r="L102" s="189"/>
      <c r="M102" s="574" t="str">
        <f t="shared" ref="M102" ca="1" si="101">IF(INDIRECT(ADDRESS(5+(ROW()-9)/3,7,,,"Стартовая ведомость"))="Pro","Выдать ДК","")</f>
        <v/>
      </c>
      <c r="N102" s="575"/>
      <c r="O102" s="575"/>
      <c r="P102" s="575"/>
      <c r="Q102" s="575"/>
      <c r="R102" s="575"/>
      <c r="S102" s="575"/>
      <c r="T102" s="575"/>
      <c r="U102" s="575"/>
      <c r="V102" s="575"/>
      <c r="W102" s="575"/>
      <c r="X102" s="575"/>
      <c r="Y102" s="576"/>
    </row>
    <row r="103" spans="1:25" s="27" customFormat="1" ht="20.100000000000001" customHeight="1" x14ac:dyDescent="0.25">
      <c r="A103" s="550"/>
      <c r="B103" s="573"/>
      <c r="C103" s="583" t="str">
        <f t="shared" ref="C103" ca="1" si="102">IF(ISBLANK(INDIRECT(ADDRESS(5+(ROW()-8)/3,8,,,"Стартовая ведомость"))),"",INDIRECT(ADDRESS(5+(ROW()-8)/3,8,,,"Стартовая ведомость")))</f>
        <v/>
      </c>
      <c r="D103" s="584"/>
      <c r="E103" s="195"/>
      <c r="F103" s="195"/>
      <c r="G103" s="191"/>
      <c r="H103" s="585" t="s">
        <v>165</v>
      </c>
      <c r="I103" s="586"/>
      <c r="J103" s="195"/>
      <c r="K103" s="195"/>
      <c r="L103" s="191"/>
      <c r="M103" s="577"/>
      <c r="N103" s="578"/>
      <c r="O103" s="578"/>
      <c r="P103" s="578"/>
      <c r="Q103" s="578"/>
      <c r="R103" s="578"/>
      <c r="S103" s="578"/>
      <c r="T103" s="578"/>
      <c r="U103" s="578"/>
      <c r="V103" s="578"/>
      <c r="W103" s="578"/>
      <c r="X103" s="578"/>
      <c r="Y103" s="579"/>
    </row>
    <row r="104" spans="1:25" ht="9.9499999999999993" customHeight="1" x14ac:dyDescent="0.25">
      <c r="A104" s="551"/>
      <c r="B104" s="573"/>
      <c r="C104" s="197"/>
      <c r="D104" s="197"/>
      <c r="E104" s="183"/>
      <c r="F104" s="183"/>
      <c r="G104" s="190"/>
      <c r="H104" s="183"/>
      <c r="I104" s="183"/>
      <c r="J104" s="183"/>
      <c r="K104" s="183"/>
      <c r="L104" s="190"/>
      <c r="M104" s="580"/>
      <c r="N104" s="581"/>
      <c r="O104" s="581"/>
      <c r="P104" s="581"/>
      <c r="Q104" s="581"/>
      <c r="R104" s="581"/>
      <c r="S104" s="581"/>
      <c r="T104" s="581"/>
      <c r="U104" s="581"/>
      <c r="V104" s="581"/>
      <c r="W104" s="581"/>
      <c r="X104" s="581"/>
      <c r="Y104" s="582"/>
    </row>
    <row r="105" spans="1:25" ht="9.9499999999999993" customHeight="1" x14ac:dyDescent="0.25">
      <c r="A105" s="549">
        <f t="shared" si="96"/>
        <v>33</v>
      </c>
      <c r="B105" s="573" t="str">
        <f t="shared" ref="B105" ca="1" si="103">IF(ISBLANK(INDIRECT(ADDRESS(5+(ROW()-9)/3,2,,,"Стартовая ведомость"))),"",INDIRECT(ADDRESS(5+(ROW()-9)/3,2,,,"Стартовая ведомость")))</f>
        <v/>
      </c>
      <c r="C105" s="196"/>
      <c r="D105" s="196"/>
      <c r="E105" s="188"/>
      <c r="F105" s="188"/>
      <c r="G105" s="189"/>
      <c r="H105" s="188"/>
      <c r="I105" s="188"/>
      <c r="J105" s="188"/>
      <c r="K105" s="188"/>
      <c r="L105" s="189"/>
      <c r="M105" s="574" t="str">
        <f t="shared" ref="M105" ca="1" si="104">IF(INDIRECT(ADDRESS(5+(ROW()-9)/3,7,,,"Стартовая ведомость"))="Pro","Выдать ДК","")</f>
        <v/>
      </c>
      <c r="N105" s="575"/>
      <c r="O105" s="575"/>
      <c r="P105" s="575"/>
      <c r="Q105" s="575"/>
      <c r="R105" s="575"/>
      <c r="S105" s="575"/>
      <c r="T105" s="575"/>
      <c r="U105" s="575"/>
      <c r="V105" s="575"/>
      <c r="W105" s="575"/>
      <c r="X105" s="575"/>
      <c r="Y105" s="576"/>
    </row>
    <row r="106" spans="1:25" s="27" customFormat="1" ht="20.100000000000001" customHeight="1" x14ac:dyDescent="0.25">
      <c r="A106" s="550"/>
      <c r="B106" s="573"/>
      <c r="C106" s="583" t="str">
        <f t="shared" ref="C106" ca="1" si="105">IF(ISBLANK(INDIRECT(ADDRESS(5+(ROW()-8)/3,8,,,"Стартовая ведомость"))),"",INDIRECT(ADDRESS(5+(ROW()-8)/3,8,,,"Стартовая ведомость")))</f>
        <v/>
      </c>
      <c r="D106" s="584"/>
      <c r="E106" s="195"/>
      <c r="F106" s="195"/>
      <c r="G106" s="191"/>
      <c r="H106" s="585" t="s">
        <v>165</v>
      </c>
      <c r="I106" s="586"/>
      <c r="J106" s="195"/>
      <c r="K106" s="195"/>
      <c r="L106" s="191"/>
      <c r="M106" s="577"/>
      <c r="N106" s="578"/>
      <c r="O106" s="578"/>
      <c r="P106" s="578"/>
      <c r="Q106" s="578"/>
      <c r="R106" s="578"/>
      <c r="S106" s="578"/>
      <c r="T106" s="578"/>
      <c r="U106" s="578"/>
      <c r="V106" s="578"/>
      <c r="W106" s="578"/>
      <c r="X106" s="578"/>
      <c r="Y106" s="579"/>
    </row>
    <row r="107" spans="1:25" ht="9.9499999999999993" customHeight="1" x14ac:dyDescent="0.25">
      <c r="A107" s="551"/>
      <c r="B107" s="573"/>
      <c r="C107" s="197"/>
      <c r="D107" s="197"/>
      <c r="E107" s="183"/>
      <c r="F107" s="183"/>
      <c r="G107" s="190"/>
      <c r="H107" s="183"/>
      <c r="I107" s="183"/>
      <c r="J107" s="183"/>
      <c r="K107" s="183"/>
      <c r="L107" s="190"/>
      <c r="M107" s="580"/>
      <c r="N107" s="581"/>
      <c r="O107" s="581"/>
      <c r="P107" s="581"/>
      <c r="Q107" s="581"/>
      <c r="R107" s="581"/>
      <c r="S107" s="581"/>
      <c r="T107" s="581"/>
      <c r="U107" s="581"/>
      <c r="V107" s="581"/>
      <c r="W107" s="581"/>
      <c r="X107" s="581"/>
      <c r="Y107" s="582"/>
    </row>
    <row r="108" spans="1:25" ht="9.9499999999999993" customHeight="1" x14ac:dyDescent="0.25">
      <c r="A108" s="549">
        <f t="shared" si="96"/>
        <v>34</v>
      </c>
      <c r="B108" s="573" t="str">
        <f t="shared" ref="B108" ca="1" si="106">IF(ISBLANK(INDIRECT(ADDRESS(5+(ROW()-9)/3,2,,,"Стартовая ведомость"))),"",INDIRECT(ADDRESS(5+(ROW()-9)/3,2,,,"Стартовая ведомость")))</f>
        <v/>
      </c>
      <c r="C108" s="196"/>
      <c r="D108" s="196"/>
      <c r="E108" s="188"/>
      <c r="F108" s="188"/>
      <c r="G108" s="189"/>
      <c r="H108" s="188"/>
      <c r="I108" s="188"/>
      <c r="J108" s="188"/>
      <c r="K108" s="188"/>
      <c r="L108" s="189"/>
      <c r="M108" s="574" t="str">
        <f t="shared" ref="M108" ca="1" si="107">IF(INDIRECT(ADDRESS(5+(ROW()-9)/3,7,,,"Стартовая ведомость"))="Pro","Выдать ДК","")</f>
        <v/>
      </c>
      <c r="N108" s="575"/>
      <c r="O108" s="575"/>
      <c r="P108" s="575"/>
      <c r="Q108" s="575"/>
      <c r="R108" s="575"/>
      <c r="S108" s="575"/>
      <c r="T108" s="575"/>
      <c r="U108" s="575"/>
      <c r="V108" s="575"/>
      <c r="W108" s="575"/>
      <c r="X108" s="575"/>
      <c r="Y108" s="576"/>
    </row>
    <row r="109" spans="1:25" s="27" customFormat="1" ht="20.100000000000001" customHeight="1" x14ac:dyDescent="0.25">
      <c r="A109" s="550"/>
      <c r="B109" s="573"/>
      <c r="C109" s="583" t="str">
        <f t="shared" ref="C109" ca="1" si="108">IF(ISBLANK(INDIRECT(ADDRESS(5+(ROW()-8)/3,8,,,"Стартовая ведомость"))),"",INDIRECT(ADDRESS(5+(ROW()-8)/3,8,,,"Стартовая ведомость")))</f>
        <v/>
      </c>
      <c r="D109" s="584"/>
      <c r="E109" s="195"/>
      <c r="F109" s="195"/>
      <c r="G109" s="191"/>
      <c r="H109" s="585" t="s">
        <v>165</v>
      </c>
      <c r="I109" s="586"/>
      <c r="J109" s="195"/>
      <c r="K109" s="195"/>
      <c r="L109" s="191"/>
      <c r="M109" s="577"/>
      <c r="N109" s="578"/>
      <c r="O109" s="578"/>
      <c r="P109" s="578"/>
      <c r="Q109" s="578"/>
      <c r="R109" s="578"/>
      <c r="S109" s="578"/>
      <c r="T109" s="578"/>
      <c r="U109" s="578"/>
      <c r="V109" s="578"/>
      <c r="W109" s="578"/>
      <c r="X109" s="578"/>
      <c r="Y109" s="579"/>
    </row>
    <row r="110" spans="1:25" ht="9.9499999999999993" customHeight="1" x14ac:dyDescent="0.25">
      <c r="A110" s="551"/>
      <c r="B110" s="573"/>
      <c r="C110" s="197"/>
      <c r="D110" s="197"/>
      <c r="E110" s="183"/>
      <c r="F110" s="183"/>
      <c r="G110" s="190"/>
      <c r="H110" s="183"/>
      <c r="I110" s="183"/>
      <c r="J110" s="183"/>
      <c r="K110" s="183"/>
      <c r="L110" s="190"/>
      <c r="M110" s="580"/>
      <c r="N110" s="581"/>
      <c r="O110" s="581"/>
      <c r="P110" s="581"/>
      <c r="Q110" s="581"/>
      <c r="R110" s="581"/>
      <c r="S110" s="581"/>
      <c r="T110" s="581"/>
      <c r="U110" s="581"/>
      <c r="V110" s="581"/>
      <c r="W110" s="581"/>
      <c r="X110" s="581"/>
      <c r="Y110" s="582"/>
    </row>
    <row r="111" spans="1:25" ht="9.9499999999999993" customHeight="1" x14ac:dyDescent="0.25">
      <c r="A111" s="549">
        <f t="shared" si="96"/>
        <v>35</v>
      </c>
      <c r="B111" s="573" t="str">
        <f t="shared" ref="B111" ca="1" si="109">IF(ISBLANK(INDIRECT(ADDRESS(5+(ROW()-9)/3,2,,,"Стартовая ведомость"))),"",INDIRECT(ADDRESS(5+(ROW()-9)/3,2,,,"Стартовая ведомость")))</f>
        <v/>
      </c>
      <c r="C111" s="196"/>
      <c r="D111" s="196"/>
      <c r="E111" s="188"/>
      <c r="F111" s="188"/>
      <c r="G111" s="189"/>
      <c r="H111" s="188"/>
      <c r="I111" s="188"/>
      <c r="J111" s="188"/>
      <c r="K111" s="188"/>
      <c r="L111" s="189"/>
      <c r="M111" s="574" t="str">
        <f t="shared" ref="M111" ca="1" si="110">IF(INDIRECT(ADDRESS(5+(ROW()-9)/3,7,,,"Стартовая ведомость"))="Pro","Выдать ДК","")</f>
        <v/>
      </c>
      <c r="N111" s="575"/>
      <c r="O111" s="575"/>
      <c r="P111" s="575"/>
      <c r="Q111" s="575"/>
      <c r="R111" s="575"/>
      <c r="S111" s="575"/>
      <c r="T111" s="575"/>
      <c r="U111" s="575"/>
      <c r="V111" s="575"/>
      <c r="W111" s="575"/>
      <c r="X111" s="575"/>
      <c r="Y111" s="576"/>
    </row>
    <row r="112" spans="1:25" s="27" customFormat="1" ht="20.100000000000001" customHeight="1" x14ac:dyDescent="0.25">
      <c r="A112" s="550"/>
      <c r="B112" s="573"/>
      <c r="C112" s="583" t="str">
        <f t="shared" ref="C112" ca="1" si="111">IF(ISBLANK(INDIRECT(ADDRESS(5+(ROW()-8)/3,8,,,"Стартовая ведомость"))),"",INDIRECT(ADDRESS(5+(ROW()-8)/3,8,,,"Стартовая ведомость")))</f>
        <v/>
      </c>
      <c r="D112" s="584"/>
      <c r="E112" s="195"/>
      <c r="F112" s="195"/>
      <c r="G112" s="191"/>
      <c r="H112" s="585" t="s">
        <v>165</v>
      </c>
      <c r="I112" s="586"/>
      <c r="J112" s="195"/>
      <c r="K112" s="195"/>
      <c r="L112" s="191"/>
      <c r="M112" s="577"/>
      <c r="N112" s="578"/>
      <c r="O112" s="578"/>
      <c r="P112" s="578"/>
      <c r="Q112" s="578"/>
      <c r="R112" s="578"/>
      <c r="S112" s="578"/>
      <c r="T112" s="578"/>
      <c r="U112" s="578"/>
      <c r="V112" s="578"/>
      <c r="W112" s="578"/>
      <c r="X112" s="578"/>
      <c r="Y112" s="579"/>
    </row>
    <row r="113" spans="1:25" ht="9.9499999999999993" customHeight="1" x14ac:dyDescent="0.25">
      <c r="A113" s="551"/>
      <c r="B113" s="573"/>
      <c r="C113" s="197"/>
      <c r="D113" s="197"/>
      <c r="E113" s="183"/>
      <c r="F113" s="183"/>
      <c r="G113" s="190"/>
      <c r="H113" s="183"/>
      <c r="I113" s="183"/>
      <c r="J113" s="183"/>
      <c r="K113" s="183"/>
      <c r="L113" s="190"/>
      <c r="M113" s="580"/>
      <c r="N113" s="581"/>
      <c r="O113" s="581"/>
      <c r="P113" s="581"/>
      <c r="Q113" s="581"/>
      <c r="R113" s="581"/>
      <c r="S113" s="581"/>
      <c r="T113" s="581"/>
      <c r="U113" s="581"/>
      <c r="V113" s="581"/>
      <c r="W113" s="581"/>
      <c r="X113" s="581"/>
      <c r="Y113" s="582"/>
    </row>
    <row r="114" spans="1:25" ht="9.9499999999999993" customHeight="1" x14ac:dyDescent="0.25">
      <c r="A114" s="549">
        <f t="shared" si="96"/>
        <v>36</v>
      </c>
      <c r="B114" s="573" t="str">
        <f t="shared" ref="B114" ca="1" si="112">IF(ISBLANK(INDIRECT(ADDRESS(5+(ROW()-9)/3,2,,,"Стартовая ведомость"))),"",INDIRECT(ADDRESS(5+(ROW()-9)/3,2,,,"Стартовая ведомость")))</f>
        <v/>
      </c>
      <c r="C114" s="196"/>
      <c r="D114" s="196"/>
      <c r="E114" s="188"/>
      <c r="F114" s="188"/>
      <c r="G114" s="189"/>
      <c r="H114" s="188"/>
      <c r="I114" s="188"/>
      <c r="J114" s="188"/>
      <c r="K114" s="188"/>
      <c r="L114" s="189"/>
      <c r="M114" s="574" t="str">
        <f t="shared" ref="M114" ca="1" si="113">IF(INDIRECT(ADDRESS(5+(ROW()-9)/3,7,,,"Стартовая ведомость"))="Pro","Выдать ДК","")</f>
        <v/>
      </c>
      <c r="N114" s="575"/>
      <c r="O114" s="575"/>
      <c r="P114" s="575"/>
      <c r="Q114" s="575"/>
      <c r="R114" s="575"/>
      <c r="S114" s="575"/>
      <c r="T114" s="575"/>
      <c r="U114" s="575"/>
      <c r="V114" s="575"/>
      <c r="W114" s="575"/>
      <c r="X114" s="575"/>
      <c r="Y114" s="576"/>
    </row>
    <row r="115" spans="1:25" s="27" customFormat="1" ht="20.100000000000001" customHeight="1" x14ac:dyDescent="0.25">
      <c r="A115" s="550"/>
      <c r="B115" s="573"/>
      <c r="C115" s="583" t="str">
        <f t="shared" ref="C115" ca="1" si="114">IF(ISBLANK(INDIRECT(ADDRESS(5+(ROW()-8)/3,8,,,"Стартовая ведомость"))),"",INDIRECT(ADDRESS(5+(ROW()-8)/3,8,,,"Стартовая ведомость")))</f>
        <v/>
      </c>
      <c r="D115" s="584"/>
      <c r="E115" s="195"/>
      <c r="F115" s="195"/>
      <c r="G115" s="191"/>
      <c r="H115" s="585" t="s">
        <v>165</v>
      </c>
      <c r="I115" s="586"/>
      <c r="J115" s="195"/>
      <c r="K115" s="195"/>
      <c r="L115" s="191"/>
      <c r="M115" s="577"/>
      <c r="N115" s="578"/>
      <c r="O115" s="578"/>
      <c r="P115" s="578"/>
      <c r="Q115" s="578"/>
      <c r="R115" s="578"/>
      <c r="S115" s="578"/>
      <c r="T115" s="578"/>
      <c r="U115" s="578"/>
      <c r="V115" s="578"/>
      <c r="W115" s="578"/>
      <c r="X115" s="578"/>
      <c r="Y115" s="579"/>
    </row>
    <row r="116" spans="1:25" ht="9.9499999999999993" customHeight="1" x14ac:dyDescent="0.25">
      <c r="A116" s="551"/>
      <c r="B116" s="573"/>
      <c r="C116" s="197"/>
      <c r="D116" s="197"/>
      <c r="E116" s="183"/>
      <c r="F116" s="183"/>
      <c r="G116" s="190"/>
      <c r="H116" s="183"/>
      <c r="I116" s="183"/>
      <c r="J116" s="183"/>
      <c r="K116" s="183"/>
      <c r="L116" s="190"/>
      <c r="M116" s="580"/>
      <c r="N116" s="581"/>
      <c r="O116" s="581"/>
      <c r="P116" s="581"/>
      <c r="Q116" s="581"/>
      <c r="R116" s="581"/>
      <c r="S116" s="581"/>
      <c r="T116" s="581"/>
      <c r="U116" s="581"/>
      <c r="V116" s="581"/>
      <c r="W116" s="581"/>
      <c r="X116" s="581"/>
      <c r="Y116" s="582"/>
    </row>
    <row r="117" spans="1:25" ht="9.9499999999999993" customHeight="1" x14ac:dyDescent="0.25">
      <c r="A117" s="549">
        <f t="shared" si="96"/>
        <v>37</v>
      </c>
      <c r="B117" s="573" t="str">
        <f t="shared" ref="B117" ca="1" si="115">IF(ISBLANK(INDIRECT(ADDRESS(5+(ROW()-9)/3,2,,,"Стартовая ведомость"))),"",INDIRECT(ADDRESS(5+(ROW()-9)/3,2,,,"Стартовая ведомость")))</f>
        <v/>
      </c>
      <c r="C117" s="196"/>
      <c r="D117" s="196"/>
      <c r="E117" s="188"/>
      <c r="F117" s="188"/>
      <c r="G117" s="189"/>
      <c r="H117" s="188"/>
      <c r="I117" s="188"/>
      <c r="J117" s="188"/>
      <c r="K117" s="188"/>
      <c r="L117" s="189"/>
      <c r="M117" s="574" t="str">
        <f t="shared" ref="M117" ca="1" si="116">IF(INDIRECT(ADDRESS(5+(ROW()-9)/3,7,,,"Стартовая ведомость"))="Pro","Выдать ДК","")</f>
        <v/>
      </c>
      <c r="N117" s="575"/>
      <c r="O117" s="575"/>
      <c r="P117" s="575"/>
      <c r="Q117" s="575"/>
      <c r="R117" s="575"/>
      <c r="S117" s="575"/>
      <c r="T117" s="575"/>
      <c r="U117" s="575"/>
      <c r="V117" s="575"/>
      <c r="W117" s="575"/>
      <c r="X117" s="575"/>
      <c r="Y117" s="576"/>
    </row>
    <row r="118" spans="1:25" s="27" customFormat="1" ht="20.100000000000001" customHeight="1" x14ac:dyDescent="0.25">
      <c r="A118" s="550"/>
      <c r="B118" s="573"/>
      <c r="C118" s="583" t="str">
        <f t="shared" ref="C118" ca="1" si="117">IF(ISBLANK(INDIRECT(ADDRESS(5+(ROW()-8)/3,8,,,"Стартовая ведомость"))),"",INDIRECT(ADDRESS(5+(ROW()-8)/3,8,,,"Стартовая ведомость")))</f>
        <v/>
      </c>
      <c r="D118" s="584"/>
      <c r="E118" s="195"/>
      <c r="F118" s="195"/>
      <c r="G118" s="191"/>
      <c r="H118" s="585" t="s">
        <v>165</v>
      </c>
      <c r="I118" s="586"/>
      <c r="J118" s="195"/>
      <c r="K118" s="195"/>
      <c r="L118" s="191"/>
      <c r="M118" s="577"/>
      <c r="N118" s="578"/>
      <c r="O118" s="578"/>
      <c r="P118" s="578"/>
      <c r="Q118" s="578"/>
      <c r="R118" s="578"/>
      <c r="S118" s="578"/>
      <c r="T118" s="578"/>
      <c r="U118" s="578"/>
      <c r="V118" s="578"/>
      <c r="W118" s="578"/>
      <c r="X118" s="578"/>
      <c r="Y118" s="579"/>
    </row>
    <row r="119" spans="1:25" ht="9.9499999999999993" customHeight="1" x14ac:dyDescent="0.25">
      <c r="A119" s="551"/>
      <c r="B119" s="573"/>
      <c r="C119" s="197"/>
      <c r="D119" s="197"/>
      <c r="E119" s="183"/>
      <c r="F119" s="183"/>
      <c r="G119" s="190"/>
      <c r="H119" s="183"/>
      <c r="I119" s="183"/>
      <c r="J119" s="183"/>
      <c r="K119" s="183"/>
      <c r="L119" s="190"/>
      <c r="M119" s="580"/>
      <c r="N119" s="581"/>
      <c r="O119" s="581"/>
      <c r="P119" s="581"/>
      <c r="Q119" s="581"/>
      <c r="R119" s="581"/>
      <c r="S119" s="581"/>
      <c r="T119" s="581"/>
      <c r="U119" s="581"/>
      <c r="V119" s="581"/>
      <c r="W119" s="581"/>
      <c r="X119" s="581"/>
      <c r="Y119" s="582"/>
    </row>
    <row r="120" spans="1:25" ht="9.9499999999999993" customHeight="1" x14ac:dyDescent="0.25">
      <c r="A120" s="549">
        <f t="shared" si="96"/>
        <v>38</v>
      </c>
      <c r="B120" s="573" t="str">
        <f t="shared" ref="B120" ca="1" si="118">IF(ISBLANK(INDIRECT(ADDRESS(5+(ROW()-9)/3,2,,,"Стартовая ведомость"))),"",INDIRECT(ADDRESS(5+(ROW()-9)/3,2,,,"Стартовая ведомость")))</f>
        <v/>
      </c>
      <c r="C120" s="196"/>
      <c r="D120" s="196"/>
      <c r="E120" s="188"/>
      <c r="F120" s="188"/>
      <c r="G120" s="189"/>
      <c r="H120" s="188"/>
      <c r="I120" s="188"/>
      <c r="J120" s="188"/>
      <c r="K120" s="188"/>
      <c r="L120" s="189"/>
      <c r="M120" s="574" t="str">
        <f t="shared" ref="M120" ca="1" si="119">IF(INDIRECT(ADDRESS(5+(ROW()-9)/3,7,,,"Стартовая ведомость"))="Pro","Выдать ДК","")</f>
        <v/>
      </c>
      <c r="N120" s="575"/>
      <c r="O120" s="575"/>
      <c r="P120" s="575"/>
      <c r="Q120" s="575"/>
      <c r="R120" s="575"/>
      <c r="S120" s="575"/>
      <c r="T120" s="575"/>
      <c r="U120" s="575"/>
      <c r="V120" s="575"/>
      <c r="W120" s="575"/>
      <c r="X120" s="575"/>
      <c r="Y120" s="576"/>
    </row>
    <row r="121" spans="1:25" s="27" customFormat="1" ht="20.100000000000001" customHeight="1" x14ac:dyDescent="0.25">
      <c r="A121" s="550"/>
      <c r="B121" s="573"/>
      <c r="C121" s="583" t="str">
        <f t="shared" ref="C121" ca="1" si="120">IF(ISBLANK(INDIRECT(ADDRESS(5+(ROW()-8)/3,8,,,"Стартовая ведомость"))),"",INDIRECT(ADDRESS(5+(ROW()-8)/3,8,,,"Стартовая ведомость")))</f>
        <v/>
      </c>
      <c r="D121" s="584"/>
      <c r="E121" s="195"/>
      <c r="F121" s="195"/>
      <c r="G121" s="191"/>
      <c r="H121" s="585" t="s">
        <v>165</v>
      </c>
      <c r="I121" s="586"/>
      <c r="J121" s="195"/>
      <c r="K121" s="195"/>
      <c r="L121" s="191"/>
      <c r="M121" s="577"/>
      <c r="N121" s="578"/>
      <c r="O121" s="578"/>
      <c r="P121" s="578"/>
      <c r="Q121" s="578"/>
      <c r="R121" s="578"/>
      <c r="S121" s="578"/>
      <c r="T121" s="578"/>
      <c r="U121" s="578"/>
      <c r="V121" s="578"/>
      <c r="W121" s="578"/>
      <c r="X121" s="578"/>
      <c r="Y121" s="579"/>
    </row>
    <row r="122" spans="1:25" ht="9.9499999999999993" customHeight="1" x14ac:dyDescent="0.25">
      <c r="A122" s="551"/>
      <c r="B122" s="573"/>
      <c r="C122" s="197"/>
      <c r="D122" s="197"/>
      <c r="E122" s="183"/>
      <c r="F122" s="183"/>
      <c r="G122" s="190"/>
      <c r="H122" s="183"/>
      <c r="I122" s="183"/>
      <c r="J122" s="183"/>
      <c r="K122" s="183"/>
      <c r="L122" s="190"/>
      <c r="M122" s="580"/>
      <c r="N122" s="581"/>
      <c r="O122" s="581"/>
      <c r="P122" s="581"/>
      <c r="Q122" s="581"/>
      <c r="R122" s="581"/>
      <c r="S122" s="581"/>
      <c r="T122" s="581"/>
      <c r="U122" s="581"/>
      <c r="V122" s="581"/>
      <c r="W122" s="581"/>
      <c r="X122" s="581"/>
      <c r="Y122" s="582"/>
    </row>
    <row r="123" spans="1:25" ht="9.9499999999999993" customHeight="1" x14ac:dyDescent="0.25">
      <c r="A123" s="549">
        <f t="shared" si="96"/>
        <v>39</v>
      </c>
      <c r="B123" s="573" t="str">
        <f t="shared" ref="B123" ca="1" si="121">IF(ISBLANK(INDIRECT(ADDRESS(5+(ROW()-9)/3,2,,,"Стартовая ведомость"))),"",INDIRECT(ADDRESS(5+(ROW()-9)/3,2,,,"Стартовая ведомость")))</f>
        <v/>
      </c>
      <c r="C123" s="196"/>
      <c r="D123" s="196"/>
      <c r="E123" s="188"/>
      <c r="F123" s="188"/>
      <c r="G123" s="189"/>
      <c r="H123" s="188"/>
      <c r="I123" s="188"/>
      <c r="J123" s="188"/>
      <c r="K123" s="188"/>
      <c r="L123" s="189"/>
      <c r="M123" s="574" t="str">
        <f t="shared" ref="M123" ca="1" si="122">IF(INDIRECT(ADDRESS(5+(ROW()-9)/3,7,,,"Стартовая ведомость"))="Pro","Выдать ДК","")</f>
        <v/>
      </c>
      <c r="N123" s="575"/>
      <c r="O123" s="575"/>
      <c r="P123" s="575"/>
      <c r="Q123" s="575"/>
      <c r="R123" s="575"/>
      <c r="S123" s="575"/>
      <c r="T123" s="575"/>
      <c r="U123" s="575"/>
      <c r="V123" s="575"/>
      <c r="W123" s="575"/>
      <c r="X123" s="575"/>
      <c r="Y123" s="576"/>
    </row>
    <row r="124" spans="1:25" s="27" customFormat="1" ht="20.100000000000001" customHeight="1" x14ac:dyDescent="0.25">
      <c r="A124" s="550"/>
      <c r="B124" s="573"/>
      <c r="C124" s="583" t="str">
        <f t="shared" ref="C124" ca="1" si="123">IF(ISBLANK(INDIRECT(ADDRESS(5+(ROW()-8)/3,8,,,"Стартовая ведомость"))),"",INDIRECT(ADDRESS(5+(ROW()-8)/3,8,,,"Стартовая ведомость")))</f>
        <v/>
      </c>
      <c r="D124" s="584"/>
      <c r="E124" s="195"/>
      <c r="F124" s="195"/>
      <c r="G124" s="191"/>
      <c r="H124" s="585" t="s">
        <v>165</v>
      </c>
      <c r="I124" s="586"/>
      <c r="J124" s="195"/>
      <c r="K124" s="195"/>
      <c r="L124" s="191"/>
      <c r="M124" s="577"/>
      <c r="N124" s="578"/>
      <c r="O124" s="578"/>
      <c r="P124" s="578"/>
      <c r="Q124" s="578"/>
      <c r="R124" s="578"/>
      <c r="S124" s="578"/>
      <c r="T124" s="578"/>
      <c r="U124" s="578"/>
      <c r="V124" s="578"/>
      <c r="W124" s="578"/>
      <c r="X124" s="578"/>
      <c r="Y124" s="579"/>
    </row>
    <row r="125" spans="1:25" ht="9.9499999999999993" customHeight="1" x14ac:dyDescent="0.25">
      <c r="A125" s="551"/>
      <c r="B125" s="573"/>
      <c r="C125" s="197"/>
      <c r="D125" s="197"/>
      <c r="E125" s="183"/>
      <c r="F125" s="183"/>
      <c r="G125" s="190"/>
      <c r="H125" s="183"/>
      <c r="I125" s="183"/>
      <c r="J125" s="183"/>
      <c r="K125" s="183"/>
      <c r="L125" s="190"/>
      <c r="M125" s="580"/>
      <c r="N125" s="581"/>
      <c r="O125" s="581"/>
      <c r="P125" s="581"/>
      <c r="Q125" s="581"/>
      <c r="R125" s="581"/>
      <c r="S125" s="581"/>
      <c r="T125" s="581"/>
      <c r="U125" s="581"/>
      <c r="V125" s="581"/>
      <c r="W125" s="581"/>
      <c r="X125" s="581"/>
      <c r="Y125" s="582"/>
    </row>
    <row r="126" spans="1:25" ht="9.9499999999999993" customHeight="1" x14ac:dyDescent="0.25">
      <c r="A126" s="549">
        <f t="shared" si="96"/>
        <v>40</v>
      </c>
      <c r="B126" s="573" t="str">
        <f t="shared" ref="B126" ca="1" si="124">IF(ISBLANK(INDIRECT(ADDRESS(5+(ROW()-9)/3,2,,,"Стартовая ведомость"))),"",INDIRECT(ADDRESS(5+(ROW()-9)/3,2,,,"Стартовая ведомость")))</f>
        <v/>
      </c>
      <c r="C126" s="196"/>
      <c r="D126" s="196"/>
      <c r="E126" s="188"/>
      <c r="F126" s="188"/>
      <c r="G126" s="189"/>
      <c r="H126" s="188"/>
      <c r="I126" s="188"/>
      <c r="J126" s="188"/>
      <c r="K126" s="188"/>
      <c r="L126" s="189"/>
      <c r="M126" s="574" t="str">
        <f t="shared" ref="M126" ca="1" si="125">IF(INDIRECT(ADDRESS(5+(ROW()-9)/3,7,,,"Стартовая ведомость"))="Pro","Выдать ДК","")</f>
        <v/>
      </c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6"/>
    </row>
    <row r="127" spans="1:25" s="27" customFormat="1" ht="20.100000000000001" customHeight="1" x14ac:dyDescent="0.25">
      <c r="A127" s="550"/>
      <c r="B127" s="573"/>
      <c r="C127" s="583" t="str">
        <f t="shared" ref="C127" ca="1" si="126">IF(ISBLANK(INDIRECT(ADDRESS(5+(ROW()-8)/3,8,,,"Стартовая ведомость"))),"",INDIRECT(ADDRESS(5+(ROW()-8)/3,8,,,"Стартовая ведомость")))</f>
        <v/>
      </c>
      <c r="D127" s="584"/>
      <c r="E127" s="195"/>
      <c r="F127" s="195"/>
      <c r="G127" s="191"/>
      <c r="H127" s="585" t="s">
        <v>165</v>
      </c>
      <c r="I127" s="586"/>
      <c r="J127" s="195"/>
      <c r="K127" s="195"/>
      <c r="L127" s="191"/>
      <c r="M127" s="577"/>
      <c r="N127" s="578"/>
      <c r="O127" s="578"/>
      <c r="P127" s="578"/>
      <c r="Q127" s="578"/>
      <c r="R127" s="578"/>
      <c r="S127" s="578"/>
      <c r="T127" s="578"/>
      <c r="U127" s="578"/>
      <c r="V127" s="578"/>
      <c r="W127" s="578"/>
      <c r="X127" s="578"/>
      <c r="Y127" s="579"/>
    </row>
    <row r="128" spans="1:25" ht="9.9499999999999993" customHeight="1" x14ac:dyDescent="0.25">
      <c r="A128" s="551"/>
      <c r="B128" s="573"/>
      <c r="C128" s="197"/>
      <c r="D128" s="197"/>
      <c r="E128" s="183"/>
      <c r="F128" s="183"/>
      <c r="G128" s="190"/>
      <c r="H128" s="183"/>
      <c r="I128" s="183"/>
      <c r="J128" s="183"/>
      <c r="K128" s="183"/>
      <c r="L128" s="190"/>
      <c r="M128" s="580"/>
      <c r="N128" s="581"/>
      <c r="O128" s="581"/>
      <c r="P128" s="581"/>
      <c r="Q128" s="581"/>
      <c r="R128" s="581"/>
      <c r="S128" s="581"/>
      <c r="T128" s="581"/>
      <c r="U128" s="581"/>
      <c r="V128" s="581"/>
      <c r="W128" s="581"/>
      <c r="X128" s="581"/>
      <c r="Y128" s="582"/>
    </row>
  </sheetData>
  <mergeCells count="224">
    <mergeCell ref="A1:O1"/>
    <mergeCell ref="Q1:Y2"/>
    <mergeCell ref="A2:O2"/>
    <mergeCell ref="A4:B4"/>
    <mergeCell ref="C4:K4"/>
    <mergeCell ref="M4:P4"/>
    <mergeCell ref="Q4:R4"/>
    <mergeCell ref="S4:T4"/>
    <mergeCell ref="U4:V4"/>
    <mergeCell ref="W4:Y4"/>
    <mergeCell ref="W5:Y5"/>
    <mergeCell ref="A7:A8"/>
    <mergeCell ref="B7:B8"/>
    <mergeCell ref="C7:G7"/>
    <mergeCell ref="H7:L7"/>
    <mergeCell ref="M7:Y8"/>
    <mergeCell ref="C8:G8"/>
    <mergeCell ref="H8:L8"/>
    <mergeCell ref="A5:B5"/>
    <mergeCell ref="C5:K5"/>
    <mergeCell ref="M5:P5"/>
    <mergeCell ref="Q5:R5"/>
    <mergeCell ref="S5:T5"/>
    <mergeCell ref="U5:V5"/>
    <mergeCell ref="A9:A11"/>
    <mergeCell ref="B9:B11"/>
    <mergeCell ref="M9:Y11"/>
    <mergeCell ref="C10:D10"/>
    <mergeCell ref="H10:I10"/>
    <mergeCell ref="A12:A14"/>
    <mergeCell ref="B12:B14"/>
    <mergeCell ref="M12:Y14"/>
    <mergeCell ref="C13:D13"/>
    <mergeCell ref="H13:I13"/>
    <mergeCell ref="A15:A17"/>
    <mergeCell ref="B15:B17"/>
    <mergeCell ref="M15:Y17"/>
    <mergeCell ref="C16:D16"/>
    <mergeCell ref="H16:I16"/>
    <mergeCell ref="A18:A20"/>
    <mergeCell ref="B18:B20"/>
    <mergeCell ref="M18:Y20"/>
    <mergeCell ref="C19:D19"/>
    <mergeCell ref="H19:I19"/>
    <mergeCell ref="A21:A23"/>
    <mergeCell ref="B21:B23"/>
    <mergeCell ref="M21:Y23"/>
    <mergeCell ref="C22:D22"/>
    <mergeCell ref="H22:I22"/>
    <mergeCell ref="A24:A26"/>
    <mergeCell ref="B24:B26"/>
    <mergeCell ref="M24:Y26"/>
    <mergeCell ref="C25:D25"/>
    <mergeCell ref="H25:I25"/>
    <mergeCell ref="A27:A29"/>
    <mergeCell ref="B27:B29"/>
    <mergeCell ref="M27:Y29"/>
    <mergeCell ref="C28:D28"/>
    <mergeCell ref="H28:I28"/>
    <mergeCell ref="A30:A32"/>
    <mergeCell ref="B30:B32"/>
    <mergeCell ref="M30:Y32"/>
    <mergeCell ref="C31:D31"/>
    <mergeCell ref="H31:I31"/>
    <mergeCell ref="A33:A35"/>
    <mergeCell ref="B33:B35"/>
    <mergeCell ref="M33:Y35"/>
    <mergeCell ref="C34:D34"/>
    <mergeCell ref="H34:I34"/>
    <mergeCell ref="A36:A38"/>
    <mergeCell ref="B36:B38"/>
    <mergeCell ref="M36:Y38"/>
    <mergeCell ref="C37:D37"/>
    <mergeCell ref="H37:I37"/>
    <mergeCell ref="A39:A41"/>
    <mergeCell ref="B39:B41"/>
    <mergeCell ref="M39:Y41"/>
    <mergeCell ref="C40:D40"/>
    <mergeCell ref="H40:I40"/>
    <mergeCell ref="A42:A44"/>
    <mergeCell ref="B42:B44"/>
    <mergeCell ref="M42:Y44"/>
    <mergeCell ref="C43:D43"/>
    <mergeCell ref="H43:I43"/>
    <mergeCell ref="A45:A47"/>
    <mergeCell ref="B45:B47"/>
    <mergeCell ref="M45:Y47"/>
    <mergeCell ref="C46:D46"/>
    <mergeCell ref="H46:I46"/>
    <mergeCell ref="A48:A50"/>
    <mergeCell ref="B48:B50"/>
    <mergeCell ref="M48:Y50"/>
    <mergeCell ref="C49:D49"/>
    <mergeCell ref="H49:I49"/>
    <mergeCell ref="A51:A53"/>
    <mergeCell ref="B51:B53"/>
    <mergeCell ref="M51:Y53"/>
    <mergeCell ref="C52:D52"/>
    <mergeCell ref="H52:I52"/>
    <mergeCell ref="A54:A56"/>
    <mergeCell ref="B54:B56"/>
    <mergeCell ref="M54:Y56"/>
    <mergeCell ref="C55:D55"/>
    <mergeCell ref="H55:I55"/>
    <mergeCell ref="A57:A59"/>
    <mergeCell ref="B57:B59"/>
    <mergeCell ref="M57:Y59"/>
    <mergeCell ref="C58:D58"/>
    <mergeCell ref="H58:I58"/>
    <mergeCell ref="A60:A62"/>
    <mergeCell ref="B60:B62"/>
    <mergeCell ref="M60:Y62"/>
    <mergeCell ref="C61:D61"/>
    <mergeCell ref="H61:I61"/>
    <mergeCell ref="A63:A65"/>
    <mergeCell ref="B63:B65"/>
    <mergeCell ref="M63:Y65"/>
    <mergeCell ref="C64:D64"/>
    <mergeCell ref="H64:I64"/>
    <mergeCell ref="A66:A68"/>
    <mergeCell ref="B66:B68"/>
    <mergeCell ref="M66:Y68"/>
    <mergeCell ref="C67:D67"/>
    <mergeCell ref="H67:I67"/>
    <mergeCell ref="A69:A71"/>
    <mergeCell ref="B69:B71"/>
    <mergeCell ref="M69:Y71"/>
    <mergeCell ref="C70:D70"/>
    <mergeCell ref="H70:I70"/>
    <mergeCell ref="A72:A74"/>
    <mergeCell ref="B72:B74"/>
    <mergeCell ref="M72:Y74"/>
    <mergeCell ref="C73:D73"/>
    <mergeCell ref="H73:I73"/>
    <mergeCell ref="A75:A77"/>
    <mergeCell ref="B75:B77"/>
    <mergeCell ref="M75:Y77"/>
    <mergeCell ref="C76:D76"/>
    <mergeCell ref="H76:I76"/>
    <mergeCell ref="A78:A80"/>
    <mergeCell ref="B78:B80"/>
    <mergeCell ref="M78:Y80"/>
    <mergeCell ref="C79:D79"/>
    <mergeCell ref="H79:I79"/>
    <mergeCell ref="A81:A83"/>
    <mergeCell ref="B81:B83"/>
    <mergeCell ref="M81:Y83"/>
    <mergeCell ref="C82:D82"/>
    <mergeCell ref="H82:I82"/>
    <mergeCell ref="A84:A86"/>
    <mergeCell ref="B84:B86"/>
    <mergeCell ref="M84:Y86"/>
    <mergeCell ref="C85:D85"/>
    <mergeCell ref="H85:I85"/>
    <mergeCell ref="A87:A89"/>
    <mergeCell ref="B87:B89"/>
    <mergeCell ref="M87:Y89"/>
    <mergeCell ref="C88:D88"/>
    <mergeCell ref="H88:I88"/>
    <mergeCell ref="A90:A92"/>
    <mergeCell ref="B90:B92"/>
    <mergeCell ref="M90:Y92"/>
    <mergeCell ref="C91:D91"/>
    <mergeCell ref="H91:I91"/>
    <mergeCell ref="A93:A95"/>
    <mergeCell ref="B93:B95"/>
    <mergeCell ref="M93:Y95"/>
    <mergeCell ref="C94:D94"/>
    <mergeCell ref="H94:I94"/>
    <mergeCell ref="A96:A98"/>
    <mergeCell ref="B96:B98"/>
    <mergeCell ref="M96:Y98"/>
    <mergeCell ref="C97:D97"/>
    <mergeCell ref="H97:I97"/>
    <mergeCell ref="A99:A101"/>
    <mergeCell ref="B99:B101"/>
    <mergeCell ref="M99:Y101"/>
    <mergeCell ref="C100:D100"/>
    <mergeCell ref="H100:I100"/>
    <mergeCell ref="A102:A104"/>
    <mergeCell ref="B102:B104"/>
    <mergeCell ref="M102:Y104"/>
    <mergeCell ref="C103:D103"/>
    <mergeCell ref="H103:I103"/>
    <mergeCell ref="A105:A107"/>
    <mergeCell ref="B105:B107"/>
    <mergeCell ref="M105:Y107"/>
    <mergeCell ref="C106:D106"/>
    <mergeCell ref="H106:I106"/>
    <mergeCell ref="A108:A110"/>
    <mergeCell ref="B108:B110"/>
    <mergeCell ref="M108:Y110"/>
    <mergeCell ref="C109:D109"/>
    <mergeCell ref="H109:I109"/>
    <mergeCell ref="A111:A113"/>
    <mergeCell ref="B111:B113"/>
    <mergeCell ref="M111:Y113"/>
    <mergeCell ref="C112:D112"/>
    <mergeCell ref="H112:I112"/>
    <mergeCell ref="A114:A116"/>
    <mergeCell ref="B114:B116"/>
    <mergeCell ref="M114:Y116"/>
    <mergeCell ref="C115:D115"/>
    <mergeCell ref="H115:I115"/>
    <mergeCell ref="A117:A119"/>
    <mergeCell ref="B117:B119"/>
    <mergeCell ref="M117:Y119"/>
    <mergeCell ref="C118:D118"/>
    <mergeCell ref="H118:I118"/>
    <mergeCell ref="A120:A122"/>
    <mergeCell ref="B120:B122"/>
    <mergeCell ref="M120:Y122"/>
    <mergeCell ref="C121:D121"/>
    <mergeCell ref="H121:I121"/>
    <mergeCell ref="A123:A125"/>
    <mergeCell ref="B123:B125"/>
    <mergeCell ref="M123:Y125"/>
    <mergeCell ref="C124:D124"/>
    <mergeCell ref="H124:I124"/>
    <mergeCell ref="A126:A128"/>
    <mergeCell ref="B126:B128"/>
    <mergeCell ref="M126:Y128"/>
    <mergeCell ref="C127:D127"/>
    <mergeCell ref="H127:I127"/>
  </mergeCells>
  <pageMargins left="0.39370078740157483" right="0.39370078740157483" top="0.39370078740157483" bottom="0.78740157480314965" header="0" footer="0.39370078740157483"/>
  <pageSetup paperSize="9" orientation="landscape" horizontalDpi="300" r:id="rId1"/>
  <headerFooter>
    <oddFooter>Страница  &amp;P из &amp;N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28"/>
  <sheetViews>
    <sheetView view="pageBreakPreview" zoomScaleSheetLayoutView="100" workbookViewId="0">
      <selection sqref="A1:O1"/>
    </sheetView>
  </sheetViews>
  <sheetFormatPr defaultColWidth="9.140625" defaultRowHeight="15" x14ac:dyDescent="0.25"/>
  <cols>
    <col min="1" max="1" width="5.7109375" style="14" customWidth="1"/>
    <col min="2" max="2" width="10.7109375" style="14" customWidth="1"/>
    <col min="3" max="3" width="15.7109375" style="14" customWidth="1"/>
    <col min="4" max="4" width="0.85546875" style="14" customWidth="1"/>
    <col min="5" max="6" width="3.28515625" style="14" customWidth="1"/>
    <col min="7" max="7" width="0.85546875" style="14" customWidth="1"/>
    <col min="8" max="8" width="15.7109375" style="14" customWidth="1"/>
    <col min="9" max="9" width="0.85546875" style="14" customWidth="1"/>
    <col min="10" max="11" width="3.28515625" style="14" customWidth="1"/>
    <col min="12" max="12" width="0.85546875" style="14" customWidth="1"/>
    <col min="13" max="25" width="5.7109375" style="14" customWidth="1"/>
    <col min="26" max="16384" width="9.140625" style="14"/>
  </cols>
  <sheetData>
    <row r="1" spans="1:28" ht="21" customHeight="1" x14ac:dyDescent="0.25">
      <c r="A1" s="566" t="str">
        <f>НазваниеПолное</f>
        <v>Ралли "Skoda Rally Weekend - 2017"</v>
      </c>
      <c r="B1" s="567"/>
      <c r="C1" s="567"/>
      <c r="D1" s="567"/>
      <c r="E1" s="567"/>
      <c r="F1" s="567"/>
      <c r="G1" s="567"/>
      <c r="H1" s="567"/>
      <c r="I1" s="567"/>
      <c r="J1" s="567"/>
      <c r="K1" s="567"/>
      <c r="L1" s="567"/>
      <c r="M1" s="567"/>
      <c r="N1" s="567"/>
      <c r="O1" s="568"/>
      <c r="P1" s="193"/>
      <c r="Q1" s="569" t="str">
        <f ca="1">INDIRECT(ADDRESS($AB$1,1,,,"Общее"))</f>
        <v>ДС-1 РД Старт</v>
      </c>
      <c r="R1" s="569"/>
      <c r="S1" s="569"/>
      <c r="T1" s="569"/>
      <c r="U1" s="569"/>
      <c r="V1" s="569"/>
      <c r="W1" s="569"/>
      <c r="X1" s="569"/>
      <c r="Y1" s="569"/>
      <c r="AA1" s="14" t="s">
        <v>153</v>
      </c>
      <c r="AB1" s="14">
        <v>14</v>
      </c>
    </row>
    <row r="2" spans="1:28" ht="21" customHeight="1" x14ac:dyDescent="0.25">
      <c r="A2" s="570" t="s">
        <v>11</v>
      </c>
      <c r="B2" s="571"/>
      <c r="C2" s="571"/>
      <c r="D2" s="571"/>
      <c r="E2" s="571"/>
      <c r="F2" s="571"/>
      <c r="G2" s="571"/>
      <c r="H2" s="571"/>
      <c r="I2" s="571"/>
      <c r="J2" s="571"/>
      <c r="K2" s="571"/>
      <c r="L2" s="571"/>
      <c r="M2" s="571"/>
      <c r="N2" s="571"/>
      <c r="O2" s="572"/>
      <c r="P2" s="192"/>
      <c r="Q2" s="569"/>
      <c r="R2" s="569"/>
      <c r="S2" s="569"/>
      <c r="T2" s="569"/>
      <c r="U2" s="569"/>
      <c r="V2" s="569"/>
      <c r="W2" s="569"/>
      <c r="X2" s="569"/>
      <c r="Y2" s="569"/>
    </row>
    <row r="3" spans="1:28" ht="2.1" customHeight="1" x14ac:dyDescent="0.25">
      <c r="A3" s="18"/>
      <c r="B3" s="18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2"/>
      <c r="N3" s="182"/>
      <c r="O3" s="182"/>
      <c r="P3" s="182"/>
    </row>
    <row r="4" spans="1:28" ht="20.100000000000001" customHeight="1" x14ac:dyDescent="0.25">
      <c r="A4" s="548" t="s">
        <v>12</v>
      </c>
      <c r="B4" s="548"/>
      <c r="C4" s="573" t="str">
        <f ca="1">INDIRECT(ADDRESS($AB$1,12,,,"Общее"))</f>
        <v>Работин+</v>
      </c>
      <c r="D4" s="573"/>
      <c r="E4" s="573"/>
      <c r="F4" s="573"/>
      <c r="G4" s="573"/>
      <c r="H4" s="573"/>
      <c r="I4" s="573"/>
      <c r="J4" s="573"/>
      <c r="K4" s="573"/>
      <c r="M4" s="548" t="s">
        <v>268</v>
      </c>
      <c r="N4" s="548"/>
      <c r="O4" s="548"/>
      <c r="P4" s="548"/>
      <c r="Q4" s="548" t="s">
        <v>136</v>
      </c>
      <c r="R4" s="548"/>
      <c r="S4" s="554">
        <f ca="1">INDIRECT(ADDRESS($AB$1,9,,,"Общее"))</f>
        <v>0.50734269727075487</v>
      </c>
      <c r="T4" s="554"/>
      <c r="U4" s="548" t="s">
        <v>135</v>
      </c>
      <c r="V4" s="548"/>
      <c r="W4" s="552" t="s">
        <v>164</v>
      </c>
      <c r="X4" s="552"/>
      <c r="Y4" s="552"/>
    </row>
    <row r="5" spans="1:28" ht="20.100000000000001" customHeight="1" x14ac:dyDescent="0.25">
      <c r="A5" s="548" t="s">
        <v>13</v>
      </c>
      <c r="B5" s="548"/>
      <c r="C5" s="548"/>
      <c r="D5" s="548"/>
      <c r="E5" s="548"/>
      <c r="F5" s="548"/>
      <c r="G5" s="548"/>
      <c r="H5" s="548"/>
      <c r="I5" s="548"/>
      <c r="J5" s="548"/>
      <c r="K5" s="548"/>
      <c r="M5" s="548" t="s">
        <v>269</v>
      </c>
      <c r="N5" s="548"/>
      <c r="O5" s="548"/>
      <c r="P5" s="548"/>
      <c r="Q5" s="548" t="s">
        <v>136</v>
      </c>
      <c r="R5" s="548"/>
      <c r="S5" s="554">
        <f ca="1">INDIRECT(ADDRESS($AB$1,11,,,"Общее"))</f>
        <v>0.56289825282631034</v>
      </c>
      <c r="T5" s="554"/>
      <c r="U5" s="548" t="s">
        <v>135</v>
      </c>
      <c r="V5" s="548"/>
      <c r="W5" s="552" t="s">
        <v>164</v>
      </c>
      <c r="X5" s="552"/>
      <c r="Y5" s="552"/>
    </row>
    <row r="6" spans="1:28" ht="2.1" customHeight="1" x14ac:dyDescent="0.25">
      <c r="A6" s="180"/>
      <c r="B6" s="180"/>
      <c r="C6" s="60"/>
      <c r="D6" s="60"/>
      <c r="E6" s="180"/>
      <c r="F6" s="180"/>
      <c r="G6" s="180"/>
      <c r="H6" s="60"/>
      <c r="I6" s="60"/>
      <c r="J6" s="180"/>
      <c r="K6" s="180"/>
      <c r="L6" s="180"/>
      <c r="M6" s="179"/>
      <c r="N6" s="179"/>
      <c r="O6" s="179"/>
      <c r="P6" s="179"/>
    </row>
    <row r="7" spans="1:28" ht="20.100000000000001" customHeight="1" x14ac:dyDescent="0.25">
      <c r="A7" s="553"/>
      <c r="B7" s="548" t="s">
        <v>0</v>
      </c>
      <c r="C7" s="587" t="s">
        <v>37</v>
      </c>
      <c r="D7" s="588"/>
      <c r="E7" s="588"/>
      <c r="F7" s="588"/>
      <c r="G7" s="589"/>
      <c r="H7" s="590" t="s">
        <v>80</v>
      </c>
      <c r="I7" s="591"/>
      <c r="J7" s="591"/>
      <c r="K7" s="591"/>
      <c r="L7" s="591"/>
      <c r="M7" s="591"/>
      <c r="N7" s="591"/>
      <c r="O7" s="591"/>
      <c r="P7" s="591"/>
      <c r="Q7" s="591"/>
      <c r="R7" s="591"/>
      <c r="S7" s="591"/>
      <c r="T7" s="591"/>
      <c r="U7" s="591"/>
      <c r="V7" s="591"/>
      <c r="W7" s="591"/>
      <c r="X7" s="591"/>
      <c r="Y7" s="592"/>
      <c r="AA7" s="14" t="s">
        <v>189</v>
      </c>
    </row>
    <row r="8" spans="1:28" ht="20.100000000000001" customHeight="1" x14ac:dyDescent="0.25">
      <c r="A8" s="553"/>
      <c r="B8" s="548"/>
      <c r="C8" s="587" t="s">
        <v>270</v>
      </c>
      <c r="D8" s="588"/>
      <c r="E8" s="588"/>
      <c r="F8" s="588"/>
      <c r="G8" s="589"/>
      <c r="H8" s="593"/>
      <c r="I8" s="594"/>
      <c r="J8" s="594"/>
      <c r="K8" s="594"/>
      <c r="L8" s="594"/>
      <c r="M8" s="594"/>
      <c r="N8" s="594"/>
      <c r="O8" s="594"/>
      <c r="P8" s="594"/>
      <c r="Q8" s="594"/>
      <c r="R8" s="594"/>
      <c r="S8" s="594"/>
      <c r="T8" s="594"/>
      <c r="U8" s="594"/>
      <c r="V8" s="594"/>
      <c r="W8" s="594"/>
      <c r="X8" s="594"/>
      <c r="Y8" s="595"/>
    </row>
    <row r="9" spans="1:28" ht="9.9499999999999993" customHeight="1" x14ac:dyDescent="0.25">
      <c r="A9" s="549">
        <v>1</v>
      </c>
      <c r="B9" s="548"/>
      <c r="C9" s="188"/>
      <c r="D9" s="188"/>
      <c r="E9" s="188"/>
      <c r="F9" s="188"/>
      <c r="G9" s="189"/>
      <c r="H9" s="590"/>
      <c r="I9" s="591"/>
      <c r="J9" s="591"/>
      <c r="K9" s="591"/>
      <c r="L9" s="591"/>
      <c r="M9" s="591"/>
      <c r="N9" s="591"/>
      <c r="O9" s="591"/>
      <c r="P9" s="591"/>
      <c r="Q9" s="591"/>
      <c r="R9" s="591"/>
      <c r="S9" s="591"/>
      <c r="T9" s="591"/>
      <c r="U9" s="591"/>
      <c r="V9" s="591"/>
      <c r="W9" s="591"/>
      <c r="X9" s="591"/>
      <c r="Y9" s="592"/>
    </row>
    <row r="10" spans="1:28" ht="20.100000000000001" customHeight="1" x14ac:dyDescent="0.25">
      <c r="A10" s="550"/>
      <c r="B10" s="548"/>
      <c r="C10" s="585" t="s">
        <v>165</v>
      </c>
      <c r="D10" s="586"/>
      <c r="E10" s="194"/>
      <c r="F10" s="194"/>
      <c r="G10" s="191"/>
      <c r="H10" s="597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  <c r="U10" s="598"/>
      <c r="V10" s="598"/>
      <c r="W10" s="598"/>
      <c r="X10" s="598"/>
      <c r="Y10" s="599"/>
    </row>
    <row r="11" spans="1:28" ht="9.9499999999999993" customHeight="1" x14ac:dyDescent="0.25">
      <c r="A11" s="551"/>
      <c r="B11" s="548"/>
      <c r="C11" s="183"/>
      <c r="D11" s="183"/>
      <c r="E11" s="183"/>
      <c r="F11" s="183"/>
      <c r="G11" s="190"/>
      <c r="H11" s="593"/>
      <c r="I11" s="594"/>
      <c r="J11" s="594"/>
      <c r="K11" s="594"/>
      <c r="L11" s="594"/>
      <c r="M11" s="594"/>
      <c r="N11" s="594"/>
      <c r="O11" s="594"/>
      <c r="P11" s="594"/>
      <c r="Q11" s="594"/>
      <c r="R11" s="594"/>
      <c r="S11" s="594"/>
      <c r="T11" s="594"/>
      <c r="U11" s="594"/>
      <c r="V11" s="594"/>
      <c r="W11" s="594"/>
      <c r="X11" s="594"/>
      <c r="Y11" s="595"/>
    </row>
    <row r="12" spans="1:28" ht="9.9499999999999993" customHeight="1" x14ac:dyDescent="0.25">
      <c r="A12" s="549">
        <f>1+A9</f>
        <v>2</v>
      </c>
      <c r="B12" s="548"/>
      <c r="C12" s="188"/>
      <c r="D12" s="188"/>
      <c r="E12" s="188"/>
      <c r="F12" s="188"/>
      <c r="G12" s="189"/>
      <c r="H12" s="590"/>
      <c r="I12" s="591"/>
      <c r="J12" s="591"/>
      <c r="K12" s="591"/>
      <c r="L12" s="591"/>
      <c r="M12" s="591"/>
      <c r="N12" s="591"/>
      <c r="O12" s="591"/>
      <c r="P12" s="591"/>
      <c r="Q12" s="591"/>
      <c r="R12" s="591"/>
      <c r="S12" s="591"/>
      <c r="T12" s="591"/>
      <c r="U12" s="591"/>
      <c r="V12" s="591"/>
      <c r="W12" s="591"/>
      <c r="X12" s="591"/>
      <c r="Y12" s="592"/>
    </row>
    <row r="13" spans="1:28" ht="20.100000000000001" customHeight="1" x14ac:dyDescent="0.25">
      <c r="A13" s="550"/>
      <c r="B13" s="548"/>
      <c r="C13" s="585" t="s">
        <v>165</v>
      </c>
      <c r="D13" s="586"/>
      <c r="E13" s="194"/>
      <c r="F13" s="194"/>
      <c r="G13" s="191"/>
      <c r="H13" s="597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  <c r="U13" s="598"/>
      <c r="V13" s="598"/>
      <c r="W13" s="598"/>
      <c r="X13" s="598"/>
      <c r="Y13" s="599"/>
    </row>
    <row r="14" spans="1:28" ht="9.9499999999999993" customHeight="1" x14ac:dyDescent="0.25">
      <c r="A14" s="551"/>
      <c r="B14" s="548"/>
      <c r="C14" s="183"/>
      <c r="D14" s="183"/>
      <c r="E14" s="183"/>
      <c r="F14" s="183"/>
      <c r="G14" s="190"/>
      <c r="H14" s="593"/>
      <c r="I14" s="594"/>
      <c r="J14" s="594"/>
      <c r="K14" s="594"/>
      <c r="L14" s="594"/>
      <c r="M14" s="594"/>
      <c r="N14" s="594"/>
      <c r="O14" s="594"/>
      <c r="P14" s="594"/>
      <c r="Q14" s="594"/>
      <c r="R14" s="594"/>
      <c r="S14" s="594"/>
      <c r="T14" s="594"/>
      <c r="U14" s="594"/>
      <c r="V14" s="594"/>
      <c r="W14" s="594"/>
      <c r="X14" s="594"/>
      <c r="Y14" s="595"/>
    </row>
    <row r="15" spans="1:28" ht="9.9499999999999993" customHeight="1" x14ac:dyDescent="0.25">
      <c r="A15" s="549">
        <f>1+A12</f>
        <v>3</v>
      </c>
      <c r="B15" s="548"/>
      <c r="C15" s="188"/>
      <c r="D15" s="188"/>
      <c r="E15" s="188"/>
      <c r="F15" s="188"/>
      <c r="G15" s="189"/>
      <c r="H15" s="590"/>
      <c r="I15" s="591"/>
      <c r="J15" s="591"/>
      <c r="K15" s="591"/>
      <c r="L15" s="591"/>
      <c r="M15" s="591"/>
      <c r="N15" s="591"/>
      <c r="O15" s="591"/>
      <c r="P15" s="591"/>
      <c r="Q15" s="591"/>
      <c r="R15" s="591"/>
      <c r="S15" s="591"/>
      <c r="T15" s="591"/>
      <c r="U15" s="591"/>
      <c r="V15" s="591"/>
      <c r="W15" s="591"/>
      <c r="X15" s="591"/>
      <c r="Y15" s="592"/>
    </row>
    <row r="16" spans="1:28" ht="20.100000000000001" customHeight="1" x14ac:dyDescent="0.25">
      <c r="A16" s="550"/>
      <c r="B16" s="548"/>
      <c r="C16" s="585" t="s">
        <v>165</v>
      </c>
      <c r="D16" s="586"/>
      <c r="E16" s="194"/>
      <c r="F16" s="194"/>
      <c r="G16" s="191"/>
      <c r="H16" s="597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  <c r="U16" s="598"/>
      <c r="V16" s="598"/>
      <c r="W16" s="598"/>
      <c r="X16" s="598"/>
      <c r="Y16" s="599"/>
    </row>
    <row r="17" spans="1:25" ht="9.9499999999999993" customHeight="1" x14ac:dyDescent="0.25">
      <c r="A17" s="551"/>
      <c r="B17" s="548"/>
      <c r="C17" s="183"/>
      <c r="D17" s="183"/>
      <c r="E17" s="183"/>
      <c r="F17" s="183"/>
      <c r="G17" s="190"/>
      <c r="H17" s="593"/>
      <c r="I17" s="594"/>
      <c r="J17" s="594"/>
      <c r="K17" s="594"/>
      <c r="L17" s="594"/>
      <c r="M17" s="594"/>
      <c r="N17" s="594"/>
      <c r="O17" s="594"/>
      <c r="P17" s="594"/>
      <c r="Q17" s="594"/>
      <c r="R17" s="594"/>
      <c r="S17" s="594"/>
      <c r="T17" s="594"/>
      <c r="U17" s="594"/>
      <c r="V17" s="594"/>
      <c r="W17" s="594"/>
      <c r="X17" s="594"/>
      <c r="Y17" s="595"/>
    </row>
    <row r="18" spans="1:25" ht="9.9499999999999993" customHeight="1" x14ac:dyDescent="0.25">
      <c r="A18" s="549">
        <f t="shared" ref="A18" si="0">1+A15</f>
        <v>4</v>
      </c>
      <c r="B18" s="548"/>
      <c r="C18" s="188"/>
      <c r="D18" s="188"/>
      <c r="E18" s="188"/>
      <c r="F18" s="188"/>
      <c r="G18" s="189"/>
      <c r="H18" s="590"/>
      <c r="I18" s="591"/>
      <c r="J18" s="591"/>
      <c r="K18" s="591"/>
      <c r="L18" s="591"/>
      <c r="M18" s="591"/>
      <c r="N18" s="591"/>
      <c r="O18" s="591"/>
      <c r="P18" s="591"/>
      <c r="Q18" s="591"/>
      <c r="R18" s="591"/>
      <c r="S18" s="591"/>
      <c r="T18" s="591"/>
      <c r="U18" s="591"/>
      <c r="V18" s="591"/>
      <c r="W18" s="591"/>
      <c r="X18" s="591"/>
      <c r="Y18" s="592"/>
    </row>
    <row r="19" spans="1:25" ht="20.100000000000001" customHeight="1" x14ac:dyDescent="0.25">
      <c r="A19" s="550"/>
      <c r="B19" s="548"/>
      <c r="C19" s="585" t="s">
        <v>165</v>
      </c>
      <c r="D19" s="586"/>
      <c r="E19" s="194"/>
      <c r="F19" s="194"/>
      <c r="G19" s="191"/>
      <c r="H19" s="597"/>
      <c r="I19" s="598"/>
      <c r="J19" s="598"/>
      <c r="K19" s="598"/>
      <c r="L19" s="598"/>
      <c r="M19" s="598"/>
      <c r="N19" s="598"/>
      <c r="O19" s="598"/>
      <c r="P19" s="598"/>
      <c r="Q19" s="598"/>
      <c r="R19" s="598"/>
      <c r="S19" s="598"/>
      <c r="T19" s="598"/>
      <c r="U19" s="598"/>
      <c r="V19" s="598"/>
      <c r="W19" s="598"/>
      <c r="X19" s="598"/>
      <c r="Y19" s="599"/>
    </row>
    <row r="20" spans="1:25" ht="9.9499999999999993" customHeight="1" x14ac:dyDescent="0.25">
      <c r="A20" s="551"/>
      <c r="B20" s="548"/>
      <c r="C20" s="183"/>
      <c r="D20" s="183"/>
      <c r="E20" s="183"/>
      <c r="F20" s="183"/>
      <c r="G20" s="190"/>
      <c r="H20" s="593"/>
      <c r="I20" s="594"/>
      <c r="J20" s="594"/>
      <c r="K20" s="594"/>
      <c r="L20" s="594"/>
      <c r="M20" s="594"/>
      <c r="N20" s="594"/>
      <c r="O20" s="594"/>
      <c r="P20" s="594"/>
      <c r="Q20" s="594"/>
      <c r="R20" s="594"/>
      <c r="S20" s="594"/>
      <c r="T20" s="594"/>
      <c r="U20" s="594"/>
      <c r="V20" s="594"/>
      <c r="W20" s="594"/>
      <c r="X20" s="594"/>
      <c r="Y20" s="595"/>
    </row>
    <row r="21" spans="1:25" ht="9.9499999999999993" customHeight="1" x14ac:dyDescent="0.25">
      <c r="A21" s="549">
        <f t="shared" ref="A21" si="1">1+A18</f>
        <v>5</v>
      </c>
      <c r="B21" s="548"/>
      <c r="C21" s="188"/>
      <c r="D21" s="188"/>
      <c r="E21" s="188"/>
      <c r="F21" s="188"/>
      <c r="G21" s="189"/>
      <c r="H21" s="590"/>
      <c r="I21" s="591"/>
      <c r="J21" s="591"/>
      <c r="K21" s="591"/>
      <c r="L21" s="591"/>
      <c r="M21" s="591"/>
      <c r="N21" s="591"/>
      <c r="O21" s="591"/>
      <c r="P21" s="591"/>
      <c r="Q21" s="591"/>
      <c r="R21" s="591"/>
      <c r="S21" s="591"/>
      <c r="T21" s="591"/>
      <c r="U21" s="591"/>
      <c r="V21" s="591"/>
      <c r="W21" s="591"/>
      <c r="X21" s="591"/>
      <c r="Y21" s="592"/>
    </row>
    <row r="22" spans="1:25" ht="20.100000000000001" customHeight="1" x14ac:dyDescent="0.25">
      <c r="A22" s="550"/>
      <c r="B22" s="548"/>
      <c r="C22" s="585" t="s">
        <v>165</v>
      </c>
      <c r="D22" s="586"/>
      <c r="E22" s="194"/>
      <c r="F22" s="194"/>
      <c r="G22" s="191"/>
      <c r="H22" s="597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  <c r="U22" s="598"/>
      <c r="V22" s="598"/>
      <c r="W22" s="598"/>
      <c r="X22" s="598"/>
      <c r="Y22" s="599"/>
    </row>
    <row r="23" spans="1:25" ht="9.9499999999999993" customHeight="1" x14ac:dyDescent="0.25">
      <c r="A23" s="551"/>
      <c r="B23" s="548"/>
      <c r="C23" s="183"/>
      <c r="D23" s="183"/>
      <c r="E23" s="183"/>
      <c r="F23" s="183"/>
      <c r="G23" s="190"/>
      <c r="H23" s="593"/>
      <c r="I23" s="594"/>
      <c r="J23" s="594"/>
      <c r="K23" s="594"/>
      <c r="L23" s="594"/>
      <c r="M23" s="594"/>
      <c r="N23" s="594"/>
      <c r="O23" s="594"/>
      <c r="P23" s="594"/>
      <c r="Q23" s="594"/>
      <c r="R23" s="594"/>
      <c r="S23" s="594"/>
      <c r="T23" s="594"/>
      <c r="U23" s="594"/>
      <c r="V23" s="594"/>
      <c r="W23" s="594"/>
      <c r="X23" s="594"/>
      <c r="Y23" s="595"/>
    </row>
    <row r="24" spans="1:25" ht="9.9499999999999993" customHeight="1" x14ac:dyDescent="0.25">
      <c r="A24" s="549">
        <f t="shared" ref="A24" si="2">1+A21</f>
        <v>6</v>
      </c>
      <c r="B24" s="548"/>
      <c r="C24" s="188"/>
      <c r="D24" s="188"/>
      <c r="E24" s="188"/>
      <c r="F24" s="188"/>
      <c r="G24" s="189"/>
      <c r="H24" s="590"/>
      <c r="I24" s="591"/>
      <c r="J24" s="591"/>
      <c r="K24" s="591"/>
      <c r="L24" s="591"/>
      <c r="M24" s="591"/>
      <c r="N24" s="591"/>
      <c r="O24" s="591"/>
      <c r="P24" s="591"/>
      <c r="Q24" s="591"/>
      <c r="R24" s="591"/>
      <c r="S24" s="591"/>
      <c r="T24" s="591"/>
      <c r="U24" s="591"/>
      <c r="V24" s="591"/>
      <c r="W24" s="591"/>
      <c r="X24" s="591"/>
      <c r="Y24" s="592"/>
    </row>
    <row r="25" spans="1:25" ht="20.100000000000001" customHeight="1" x14ac:dyDescent="0.25">
      <c r="A25" s="550"/>
      <c r="B25" s="548"/>
      <c r="C25" s="585" t="s">
        <v>165</v>
      </c>
      <c r="D25" s="586"/>
      <c r="E25" s="194"/>
      <c r="F25" s="194"/>
      <c r="G25" s="191"/>
      <c r="H25" s="597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  <c r="U25" s="598"/>
      <c r="V25" s="598"/>
      <c r="W25" s="598"/>
      <c r="X25" s="598"/>
      <c r="Y25" s="599"/>
    </row>
    <row r="26" spans="1:25" ht="9.9499999999999993" customHeight="1" x14ac:dyDescent="0.25">
      <c r="A26" s="551"/>
      <c r="B26" s="548"/>
      <c r="C26" s="183"/>
      <c r="D26" s="183"/>
      <c r="E26" s="183"/>
      <c r="F26" s="183"/>
      <c r="G26" s="190"/>
      <c r="H26" s="593"/>
      <c r="I26" s="594"/>
      <c r="J26" s="594"/>
      <c r="K26" s="594"/>
      <c r="L26" s="594"/>
      <c r="M26" s="594"/>
      <c r="N26" s="594"/>
      <c r="O26" s="594"/>
      <c r="P26" s="594"/>
      <c r="Q26" s="594"/>
      <c r="R26" s="594"/>
      <c r="S26" s="594"/>
      <c r="T26" s="594"/>
      <c r="U26" s="594"/>
      <c r="V26" s="594"/>
      <c r="W26" s="594"/>
      <c r="X26" s="594"/>
      <c r="Y26" s="595"/>
    </row>
    <row r="27" spans="1:25" ht="9.9499999999999993" customHeight="1" x14ac:dyDescent="0.25">
      <c r="A27" s="549">
        <f t="shared" ref="A27" si="3">1+A24</f>
        <v>7</v>
      </c>
      <c r="B27" s="548"/>
      <c r="C27" s="188"/>
      <c r="D27" s="188"/>
      <c r="E27" s="188"/>
      <c r="F27" s="188"/>
      <c r="G27" s="189"/>
      <c r="H27" s="590"/>
      <c r="I27" s="591"/>
      <c r="J27" s="591"/>
      <c r="K27" s="591"/>
      <c r="L27" s="591"/>
      <c r="M27" s="591"/>
      <c r="N27" s="591"/>
      <c r="O27" s="591"/>
      <c r="P27" s="591"/>
      <c r="Q27" s="591"/>
      <c r="R27" s="591"/>
      <c r="S27" s="591"/>
      <c r="T27" s="591"/>
      <c r="U27" s="591"/>
      <c r="V27" s="591"/>
      <c r="W27" s="591"/>
      <c r="X27" s="591"/>
      <c r="Y27" s="592"/>
    </row>
    <row r="28" spans="1:25" ht="20.100000000000001" customHeight="1" x14ac:dyDescent="0.25">
      <c r="A28" s="550"/>
      <c r="B28" s="548"/>
      <c r="C28" s="585" t="s">
        <v>165</v>
      </c>
      <c r="D28" s="586"/>
      <c r="E28" s="194"/>
      <c r="F28" s="194"/>
      <c r="G28" s="191"/>
      <c r="H28" s="597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  <c r="U28" s="598"/>
      <c r="V28" s="598"/>
      <c r="W28" s="598"/>
      <c r="X28" s="598"/>
      <c r="Y28" s="599"/>
    </row>
    <row r="29" spans="1:25" ht="9.9499999999999993" customHeight="1" x14ac:dyDescent="0.25">
      <c r="A29" s="551"/>
      <c r="B29" s="548"/>
      <c r="C29" s="183"/>
      <c r="D29" s="183"/>
      <c r="E29" s="183"/>
      <c r="F29" s="183"/>
      <c r="G29" s="190"/>
      <c r="H29" s="593"/>
      <c r="I29" s="594"/>
      <c r="J29" s="594"/>
      <c r="K29" s="594"/>
      <c r="L29" s="594"/>
      <c r="M29" s="594"/>
      <c r="N29" s="594"/>
      <c r="O29" s="594"/>
      <c r="P29" s="594"/>
      <c r="Q29" s="594"/>
      <c r="R29" s="594"/>
      <c r="S29" s="594"/>
      <c r="T29" s="594"/>
      <c r="U29" s="594"/>
      <c r="V29" s="594"/>
      <c r="W29" s="594"/>
      <c r="X29" s="594"/>
      <c r="Y29" s="595"/>
    </row>
    <row r="30" spans="1:25" ht="9.9499999999999993" customHeight="1" x14ac:dyDescent="0.25">
      <c r="A30" s="549">
        <f t="shared" ref="A30" si="4">1+A27</f>
        <v>8</v>
      </c>
      <c r="B30" s="548"/>
      <c r="C30" s="188"/>
      <c r="D30" s="188"/>
      <c r="E30" s="188"/>
      <c r="F30" s="188"/>
      <c r="G30" s="189"/>
      <c r="H30" s="590"/>
      <c r="I30" s="591"/>
      <c r="J30" s="591"/>
      <c r="K30" s="591"/>
      <c r="L30" s="591"/>
      <c r="M30" s="591"/>
      <c r="N30" s="591"/>
      <c r="O30" s="591"/>
      <c r="P30" s="591"/>
      <c r="Q30" s="591"/>
      <c r="R30" s="591"/>
      <c r="S30" s="591"/>
      <c r="T30" s="591"/>
      <c r="U30" s="591"/>
      <c r="V30" s="591"/>
      <c r="W30" s="591"/>
      <c r="X30" s="591"/>
      <c r="Y30" s="592"/>
    </row>
    <row r="31" spans="1:25" ht="20.100000000000001" customHeight="1" x14ac:dyDescent="0.25">
      <c r="A31" s="550"/>
      <c r="B31" s="548"/>
      <c r="C31" s="585" t="s">
        <v>165</v>
      </c>
      <c r="D31" s="586"/>
      <c r="E31" s="194"/>
      <c r="F31" s="194"/>
      <c r="G31" s="191"/>
      <c r="H31" s="597"/>
      <c r="I31" s="598"/>
      <c r="J31" s="598"/>
      <c r="K31" s="598"/>
      <c r="L31" s="598"/>
      <c r="M31" s="598"/>
      <c r="N31" s="598"/>
      <c r="O31" s="598"/>
      <c r="P31" s="598"/>
      <c r="Q31" s="598"/>
      <c r="R31" s="598"/>
      <c r="S31" s="598"/>
      <c r="T31" s="598"/>
      <c r="U31" s="598"/>
      <c r="V31" s="598"/>
      <c r="W31" s="598"/>
      <c r="X31" s="598"/>
      <c r="Y31" s="599"/>
    </row>
    <row r="32" spans="1:25" ht="9.9499999999999993" customHeight="1" x14ac:dyDescent="0.25">
      <c r="A32" s="551"/>
      <c r="B32" s="548"/>
      <c r="C32" s="183"/>
      <c r="D32" s="183"/>
      <c r="E32" s="183"/>
      <c r="F32" s="183"/>
      <c r="G32" s="190"/>
      <c r="H32" s="593"/>
      <c r="I32" s="594"/>
      <c r="J32" s="594"/>
      <c r="K32" s="594"/>
      <c r="L32" s="594"/>
      <c r="M32" s="594"/>
      <c r="N32" s="594"/>
      <c r="O32" s="594"/>
      <c r="P32" s="594"/>
      <c r="Q32" s="594"/>
      <c r="R32" s="594"/>
      <c r="S32" s="594"/>
      <c r="T32" s="594"/>
      <c r="U32" s="594"/>
      <c r="V32" s="594"/>
      <c r="W32" s="594"/>
      <c r="X32" s="594"/>
      <c r="Y32" s="595"/>
    </row>
    <row r="33" spans="1:25" ht="9.9499999999999993" customHeight="1" x14ac:dyDescent="0.25">
      <c r="A33" s="549">
        <f t="shared" ref="A33" si="5">1+A30</f>
        <v>9</v>
      </c>
      <c r="B33" s="548"/>
      <c r="C33" s="188"/>
      <c r="D33" s="188"/>
      <c r="E33" s="188"/>
      <c r="F33" s="188"/>
      <c r="G33" s="189"/>
      <c r="H33" s="590"/>
      <c r="I33" s="591"/>
      <c r="J33" s="591"/>
      <c r="K33" s="591"/>
      <c r="L33" s="591"/>
      <c r="M33" s="591"/>
      <c r="N33" s="591"/>
      <c r="O33" s="591"/>
      <c r="P33" s="591"/>
      <c r="Q33" s="591"/>
      <c r="R33" s="591"/>
      <c r="S33" s="591"/>
      <c r="T33" s="591"/>
      <c r="U33" s="591"/>
      <c r="V33" s="591"/>
      <c r="W33" s="591"/>
      <c r="X33" s="591"/>
      <c r="Y33" s="592"/>
    </row>
    <row r="34" spans="1:25" ht="20.100000000000001" customHeight="1" x14ac:dyDescent="0.25">
      <c r="A34" s="550"/>
      <c r="B34" s="548"/>
      <c r="C34" s="585" t="s">
        <v>165</v>
      </c>
      <c r="D34" s="586"/>
      <c r="E34" s="194"/>
      <c r="F34" s="194"/>
      <c r="G34" s="191"/>
      <c r="H34" s="597"/>
      <c r="I34" s="598"/>
      <c r="J34" s="598"/>
      <c r="K34" s="598"/>
      <c r="L34" s="598"/>
      <c r="M34" s="598"/>
      <c r="N34" s="598"/>
      <c r="O34" s="598"/>
      <c r="P34" s="598"/>
      <c r="Q34" s="598"/>
      <c r="R34" s="598"/>
      <c r="S34" s="598"/>
      <c r="T34" s="598"/>
      <c r="U34" s="598"/>
      <c r="V34" s="598"/>
      <c r="W34" s="598"/>
      <c r="X34" s="598"/>
      <c r="Y34" s="599"/>
    </row>
    <row r="35" spans="1:25" ht="9.75" customHeight="1" x14ac:dyDescent="0.25">
      <c r="A35" s="551"/>
      <c r="B35" s="548"/>
      <c r="C35" s="183"/>
      <c r="D35" s="183"/>
      <c r="E35" s="183"/>
      <c r="F35" s="183"/>
      <c r="G35" s="190"/>
      <c r="H35" s="593"/>
      <c r="I35" s="594"/>
      <c r="J35" s="594"/>
      <c r="K35" s="594"/>
      <c r="L35" s="594"/>
      <c r="M35" s="594"/>
      <c r="N35" s="594"/>
      <c r="O35" s="594"/>
      <c r="P35" s="594"/>
      <c r="Q35" s="594"/>
      <c r="R35" s="594"/>
      <c r="S35" s="594"/>
      <c r="T35" s="594"/>
      <c r="U35" s="594"/>
      <c r="V35" s="594"/>
      <c r="W35" s="594"/>
      <c r="X35" s="594"/>
      <c r="Y35" s="595"/>
    </row>
    <row r="36" spans="1:25" ht="9.9499999999999993" customHeight="1" x14ac:dyDescent="0.25">
      <c r="A36" s="549">
        <f t="shared" ref="A36" si="6">1+A33</f>
        <v>10</v>
      </c>
      <c r="B36" s="548"/>
      <c r="C36" s="188"/>
      <c r="D36" s="188"/>
      <c r="E36" s="188"/>
      <c r="F36" s="188"/>
      <c r="G36" s="189"/>
      <c r="H36" s="590"/>
      <c r="I36" s="591"/>
      <c r="J36" s="591"/>
      <c r="K36" s="591"/>
      <c r="L36" s="591"/>
      <c r="M36" s="591"/>
      <c r="N36" s="591"/>
      <c r="O36" s="591"/>
      <c r="P36" s="591"/>
      <c r="Q36" s="591"/>
      <c r="R36" s="591"/>
      <c r="S36" s="591"/>
      <c r="T36" s="591"/>
      <c r="U36" s="591"/>
      <c r="V36" s="591"/>
      <c r="W36" s="591"/>
      <c r="X36" s="591"/>
      <c r="Y36" s="592"/>
    </row>
    <row r="37" spans="1:25" ht="20.100000000000001" customHeight="1" x14ac:dyDescent="0.25">
      <c r="A37" s="550"/>
      <c r="B37" s="548"/>
      <c r="C37" s="585" t="s">
        <v>165</v>
      </c>
      <c r="D37" s="586"/>
      <c r="E37" s="194"/>
      <c r="F37" s="194"/>
      <c r="G37" s="191"/>
      <c r="H37" s="597"/>
      <c r="I37" s="598"/>
      <c r="J37" s="598"/>
      <c r="K37" s="598"/>
      <c r="L37" s="598"/>
      <c r="M37" s="598"/>
      <c r="N37" s="598"/>
      <c r="O37" s="598"/>
      <c r="P37" s="598"/>
      <c r="Q37" s="598"/>
      <c r="R37" s="598"/>
      <c r="S37" s="598"/>
      <c r="T37" s="598"/>
      <c r="U37" s="598"/>
      <c r="V37" s="598"/>
      <c r="W37" s="598"/>
      <c r="X37" s="598"/>
      <c r="Y37" s="599"/>
    </row>
    <row r="38" spans="1:25" ht="9.9499999999999993" customHeight="1" x14ac:dyDescent="0.25">
      <c r="A38" s="551"/>
      <c r="B38" s="548"/>
      <c r="C38" s="183"/>
      <c r="D38" s="183"/>
      <c r="E38" s="183"/>
      <c r="F38" s="183"/>
      <c r="G38" s="190"/>
      <c r="H38" s="593"/>
      <c r="I38" s="594"/>
      <c r="J38" s="594"/>
      <c r="K38" s="594"/>
      <c r="L38" s="594"/>
      <c r="M38" s="594"/>
      <c r="N38" s="594"/>
      <c r="O38" s="594"/>
      <c r="P38" s="594"/>
      <c r="Q38" s="594"/>
      <c r="R38" s="594"/>
      <c r="S38" s="594"/>
      <c r="T38" s="594"/>
      <c r="U38" s="594"/>
      <c r="V38" s="594"/>
      <c r="W38" s="594"/>
      <c r="X38" s="594"/>
      <c r="Y38" s="595"/>
    </row>
    <row r="39" spans="1:25" ht="9.9499999999999993" customHeight="1" x14ac:dyDescent="0.25">
      <c r="A39" s="549">
        <f t="shared" ref="A39:A66" si="7">1+A36</f>
        <v>11</v>
      </c>
      <c r="B39" s="548"/>
      <c r="C39" s="188"/>
      <c r="D39" s="188"/>
      <c r="E39" s="188"/>
      <c r="F39" s="188"/>
      <c r="G39" s="189"/>
      <c r="H39" s="590"/>
      <c r="I39" s="591"/>
      <c r="J39" s="591"/>
      <c r="K39" s="591"/>
      <c r="L39" s="591"/>
      <c r="M39" s="591"/>
      <c r="N39" s="591"/>
      <c r="O39" s="591"/>
      <c r="P39" s="591"/>
      <c r="Q39" s="591"/>
      <c r="R39" s="591"/>
      <c r="S39" s="591"/>
      <c r="T39" s="591"/>
      <c r="U39" s="591"/>
      <c r="V39" s="591"/>
      <c r="W39" s="591"/>
      <c r="X39" s="591"/>
      <c r="Y39" s="592"/>
    </row>
    <row r="40" spans="1:25" ht="20.100000000000001" customHeight="1" x14ac:dyDescent="0.25">
      <c r="A40" s="550"/>
      <c r="B40" s="548"/>
      <c r="C40" s="585" t="s">
        <v>165</v>
      </c>
      <c r="D40" s="586"/>
      <c r="E40" s="194"/>
      <c r="F40" s="194"/>
      <c r="G40" s="191"/>
      <c r="H40" s="597"/>
      <c r="I40" s="598"/>
      <c r="J40" s="598"/>
      <c r="K40" s="598"/>
      <c r="L40" s="598"/>
      <c r="M40" s="598"/>
      <c r="N40" s="598"/>
      <c r="O40" s="598"/>
      <c r="P40" s="598"/>
      <c r="Q40" s="598"/>
      <c r="R40" s="598"/>
      <c r="S40" s="598"/>
      <c r="T40" s="598"/>
      <c r="U40" s="598"/>
      <c r="V40" s="598"/>
      <c r="W40" s="598"/>
      <c r="X40" s="598"/>
      <c r="Y40" s="599"/>
    </row>
    <row r="41" spans="1:25" ht="9.9499999999999993" customHeight="1" x14ac:dyDescent="0.25">
      <c r="A41" s="551"/>
      <c r="B41" s="548"/>
      <c r="C41" s="183"/>
      <c r="D41" s="183"/>
      <c r="E41" s="183"/>
      <c r="F41" s="183"/>
      <c r="G41" s="190"/>
      <c r="H41" s="593"/>
      <c r="I41" s="594"/>
      <c r="J41" s="594"/>
      <c r="K41" s="594"/>
      <c r="L41" s="594"/>
      <c r="M41" s="594"/>
      <c r="N41" s="594"/>
      <c r="O41" s="594"/>
      <c r="P41" s="594"/>
      <c r="Q41" s="594"/>
      <c r="R41" s="594"/>
      <c r="S41" s="594"/>
      <c r="T41" s="594"/>
      <c r="U41" s="594"/>
      <c r="V41" s="594"/>
      <c r="W41" s="594"/>
      <c r="X41" s="594"/>
      <c r="Y41" s="595"/>
    </row>
    <row r="42" spans="1:25" ht="9.9499999999999993" customHeight="1" x14ac:dyDescent="0.25">
      <c r="A42" s="549">
        <f t="shared" si="7"/>
        <v>12</v>
      </c>
      <c r="B42" s="548"/>
      <c r="C42" s="188"/>
      <c r="D42" s="188"/>
      <c r="E42" s="188"/>
      <c r="F42" s="188"/>
      <c r="G42" s="189"/>
      <c r="H42" s="590"/>
      <c r="I42" s="591"/>
      <c r="J42" s="591"/>
      <c r="K42" s="591"/>
      <c r="L42" s="591"/>
      <c r="M42" s="591"/>
      <c r="N42" s="591"/>
      <c r="O42" s="591"/>
      <c r="P42" s="591"/>
      <c r="Q42" s="591"/>
      <c r="R42" s="591"/>
      <c r="S42" s="591"/>
      <c r="T42" s="591"/>
      <c r="U42" s="591"/>
      <c r="V42" s="591"/>
      <c r="W42" s="591"/>
      <c r="X42" s="591"/>
      <c r="Y42" s="592"/>
    </row>
    <row r="43" spans="1:25" ht="20.100000000000001" customHeight="1" x14ac:dyDescent="0.25">
      <c r="A43" s="550"/>
      <c r="B43" s="548"/>
      <c r="C43" s="585" t="s">
        <v>165</v>
      </c>
      <c r="D43" s="586"/>
      <c r="E43" s="194"/>
      <c r="F43" s="194"/>
      <c r="G43" s="191"/>
      <c r="H43" s="597"/>
      <c r="I43" s="598"/>
      <c r="J43" s="598"/>
      <c r="K43" s="598"/>
      <c r="L43" s="598"/>
      <c r="M43" s="598"/>
      <c r="N43" s="598"/>
      <c r="O43" s="598"/>
      <c r="P43" s="598"/>
      <c r="Q43" s="598"/>
      <c r="R43" s="598"/>
      <c r="S43" s="598"/>
      <c r="T43" s="598"/>
      <c r="U43" s="598"/>
      <c r="V43" s="598"/>
      <c r="W43" s="598"/>
      <c r="X43" s="598"/>
      <c r="Y43" s="599"/>
    </row>
    <row r="44" spans="1:25" ht="9.9499999999999993" customHeight="1" x14ac:dyDescent="0.25">
      <c r="A44" s="551"/>
      <c r="B44" s="548"/>
      <c r="C44" s="183"/>
      <c r="D44" s="183"/>
      <c r="E44" s="183"/>
      <c r="F44" s="183"/>
      <c r="G44" s="190"/>
      <c r="H44" s="593"/>
      <c r="I44" s="594"/>
      <c r="J44" s="594"/>
      <c r="K44" s="594"/>
      <c r="L44" s="594"/>
      <c r="M44" s="594"/>
      <c r="N44" s="594"/>
      <c r="O44" s="594"/>
      <c r="P44" s="594"/>
      <c r="Q44" s="594"/>
      <c r="R44" s="594"/>
      <c r="S44" s="594"/>
      <c r="T44" s="594"/>
      <c r="U44" s="594"/>
      <c r="V44" s="594"/>
      <c r="W44" s="594"/>
      <c r="X44" s="594"/>
      <c r="Y44" s="595"/>
    </row>
    <row r="45" spans="1:25" ht="9.9499999999999993" customHeight="1" x14ac:dyDescent="0.25">
      <c r="A45" s="549">
        <f t="shared" si="7"/>
        <v>13</v>
      </c>
      <c r="B45" s="548"/>
      <c r="C45" s="188"/>
      <c r="D45" s="188"/>
      <c r="E45" s="188"/>
      <c r="F45" s="188"/>
      <c r="G45" s="189"/>
      <c r="H45" s="590"/>
      <c r="I45" s="591"/>
      <c r="J45" s="591"/>
      <c r="K45" s="591"/>
      <c r="L45" s="591"/>
      <c r="M45" s="591"/>
      <c r="N45" s="591"/>
      <c r="O45" s="591"/>
      <c r="P45" s="591"/>
      <c r="Q45" s="591"/>
      <c r="R45" s="591"/>
      <c r="S45" s="591"/>
      <c r="T45" s="591"/>
      <c r="U45" s="591"/>
      <c r="V45" s="591"/>
      <c r="W45" s="591"/>
      <c r="X45" s="591"/>
      <c r="Y45" s="592"/>
    </row>
    <row r="46" spans="1:25" ht="20.100000000000001" customHeight="1" x14ac:dyDescent="0.25">
      <c r="A46" s="550"/>
      <c r="B46" s="548"/>
      <c r="C46" s="585" t="s">
        <v>165</v>
      </c>
      <c r="D46" s="586"/>
      <c r="E46" s="194"/>
      <c r="F46" s="194"/>
      <c r="G46" s="191"/>
      <c r="H46" s="597"/>
      <c r="I46" s="598"/>
      <c r="J46" s="598"/>
      <c r="K46" s="598"/>
      <c r="L46" s="598"/>
      <c r="M46" s="598"/>
      <c r="N46" s="598"/>
      <c r="O46" s="598"/>
      <c r="P46" s="598"/>
      <c r="Q46" s="598"/>
      <c r="R46" s="598"/>
      <c r="S46" s="598"/>
      <c r="T46" s="598"/>
      <c r="U46" s="598"/>
      <c r="V46" s="598"/>
      <c r="W46" s="598"/>
      <c r="X46" s="598"/>
      <c r="Y46" s="599"/>
    </row>
    <row r="47" spans="1:25" ht="9.9499999999999993" customHeight="1" x14ac:dyDescent="0.25">
      <c r="A47" s="551"/>
      <c r="B47" s="548"/>
      <c r="C47" s="183"/>
      <c r="D47" s="183"/>
      <c r="E47" s="183"/>
      <c r="F47" s="183"/>
      <c r="G47" s="190"/>
      <c r="H47" s="593"/>
      <c r="I47" s="594"/>
      <c r="J47" s="594"/>
      <c r="K47" s="594"/>
      <c r="L47" s="594"/>
      <c r="M47" s="594"/>
      <c r="N47" s="594"/>
      <c r="O47" s="594"/>
      <c r="P47" s="594"/>
      <c r="Q47" s="594"/>
      <c r="R47" s="594"/>
      <c r="S47" s="594"/>
      <c r="T47" s="594"/>
      <c r="U47" s="594"/>
      <c r="V47" s="594"/>
      <c r="W47" s="594"/>
      <c r="X47" s="594"/>
      <c r="Y47" s="595"/>
    </row>
    <row r="48" spans="1:25" ht="9.9499999999999993" customHeight="1" x14ac:dyDescent="0.25">
      <c r="A48" s="549">
        <f t="shared" si="7"/>
        <v>14</v>
      </c>
      <c r="B48" s="548"/>
      <c r="C48" s="188"/>
      <c r="D48" s="188"/>
      <c r="E48" s="188"/>
      <c r="F48" s="188"/>
      <c r="G48" s="189"/>
      <c r="H48" s="590"/>
      <c r="I48" s="591"/>
      <c r="J48" s="591"/>
      <c r="K48" s="591"/>
      <c r="L48" s="591"/>
      <c r="M48" s="591"/>
      <c r="N48" s="591"/>
      <c r="O48" s="591"/>
      <c r="P48" s="591"/>
      <c r="Q48" s="591"/>
      <c r="R48" s="591"/>
      <c r="S48" s="591"/>
      <c r="T48" s="591"/>
      <c r="U48" s="591"/>
      <c r="V48" s="591"/>
      <c r="W48" s="591"/>
      <c r="X48" s="591"/>
      <c r="Y48" s="592"/>
    </row>
    <row r="49" spans="1:25" ht="20.100000000000001" customHeight="1" x14ac:dyDescent="0.25">
      <c r="A49" s="550"/>
      <c r="B49" s="548"/>
      <c r="C49" s="585" t="s">
        <v>165</v>
      </c>
      <c r="D49" s="586"/>
      <c r="E49" s="194"/>
      <c r="F49" s="194"/>
      <c r="G49" s="191"/>
      <c r="H49" s="597"/>
      <c r="I49" s="598"/>
      <c r="J49" s="598"/>
      <c r="K49" s="598"/>
      <c r="L49" s="598"/>
      <c r="M49" s="598"/>
      <c r="N49" s="598"/>
      <c r="O49" s="598"/>
      <c r="P49" s="598"/>
      <c r="Q49" s="598"/>
      <c r="R49" s="598"/>
      <c r="S49" s="598"/>
      <c r="T49" s="598"/>
      <c r="U49" s="598"/>
      <c r="V49" s="598"/>
      <c r="W49" s="598"/>
      <c r="X49" s="598"/>
      <c r="Y49" s="599"/>
    </row>
    <row r="50" spans="1:25" ht="9.9499999999999993" customHeight="1" x14ac:dyDescent="0.25">
      <c r="A50" s="551"/>
      <c r="B50" s="548"/>
      <c r="C50" s="183"/>
      <c r="D50" s="183"/>
      <c r="E50" s="183"/>
      <c r="F50" s="183"/>
      <c r="G50" s="190"/>
      <c r="H50" s="593"/>
      <c r="I50" s="594"/>
      <c r="J50" s="594"/>
      <c r="K50" s="594"/>
      <c r="L50" s="594"/>
      <c r="M50" s="594"/>
      <c r="N50" s="594"/>
      <c r="O50" s="594"/>
      <c r="P50" s="594"/>
      <c r="Q50" s="594"/>
      <c r="R50" s="594"/>
      <c r="S50" s="594"/>
      <c r="T50" s="594"/>
      <c r="U50" s="594"/>
      <c r="V50" s="594"/>
      <c r="W50" s="594"/>
      <c r="X50" s="594"/>
      <c r="Y50" s="595"/>
    </row>
    <row r="51" spans="1:25" ht="9.9499999999999993" customHeight="1" x14ac:dyDescent="0.25">
      <c r="A51" s="549">
        <f t="shared" si="7"/>
        <v>15</v>
      </c>
      <c r="B51" s="548"/>
      <c r="C51" s="188"/>
      <c r="D51" s="188"/>
      <c r="E51" s="188"/>
      <c r="F51" s="188"/>
      <c r="G51" s="189"/>
      <c r="H51" s="590"/>
      <c r="I51" s="591"/>
      <c r="J51" s="591"/>
      <c r="K51" s="591"/>
      <c r="L51" s="591"/>
      <c r="M51" s="591"/>
      <c r="N51" s="591"/>
      <c r="O51" s="591"/>
      <c r="P51" s="591"/>
      <c r="Q51" s="591"/>
      <c r="R51" s="591"/>
      <c r="S51" s="591"/>
      <c r="T51" s="591"/>
      <c r="U51" s="591"/>
      <c r="V51" s="591"/>
      <c r="W51" s="591"/>
      <c r="X51" s="591"/>
      <c r="Y51" s="592"/>
    </row>
    <row r="52" spans="1:25" ht="20.100000000000001" customHeight="1" x14ac:dyDescent="0.25">
      <c r="A52" s="550"/>
      <c r="B52" s="548"/>
      <c r="C52" s="585" t="s">
        <v>165</v>
      </c>
      <c r="D52" s="586"/>
      <c r="E52" s="194"/>
      <c r="F52" s="194"/>
      <c r="G52" s="191"/>
      <c r="H52" s="597"/>
      <c r="I52" s="598"/>
      <c r="J52" s="598"/>
      <c r="K52" s="598"/>
      <c r="L52" s="598"/>
      <c r="M52" s="598"/>
      <c r="N52" s="598"/>
      <c r="O52" s="598"/>
      <c r="P52" s="598"/>
      <c r="Q52" s="598"/>
      <c r="R52" s="598"/>
      <c r="S52" s="598"/>
      <c r="T52" s="598"/>
      <c r="U52" s="598"/>
      <c r="V52" s="598"/>
      <c r="W52" s="598"/>
      <c r="X52" s="598"/>
      <c r="Y52" s="599"/>
    </row>
    <row r="53" spans="1:25" ht="9.9499999999999993" customHeight="1" x14ac:dyDescent="0.25">
      <c r="A53" s="551"/>
      <c r="B53" s="548"/>
      <c r="C53" s="183"/>
      <c r="D53" s="183"/>
      <c r="E53" s="183"/>
      <c r="F53" s="183"/>
      <c r="G53" s="190"/>
      <c r="H53" s="593"/>
      <c r="I53" s="594"/>
      <c r="J53" s="594"/>
      <c r="K53" s="594"/>
      <c r="L53" s="594"/>
      <c r="M53" s="594"/>
      <c r="N53" s="594"/>
      <c r="O53" s="594"/>
      <c r="P53" s="594"/>
      <c r="Q53" s="594"/>
      <c r="R53" s="594"/>
      <c r="S53" s="594"/>
      <c r="T53" s="594"/>
      <c r="U53" s="594"/>
      <c r="V53" s="594"/>
      <c r="W53" s="594"/>
      <c r="X53" s="594"/>
      <c r="Y53" s="595"/>
    </row>
    <row r="54" spans="1:25" ht="9.9499999999999993" customHeight="1" x14ac:dyDescent="0.25">
      <c r="A54" s="549">
        <f t="shared" si="7"/>
        <v>16</v>
      </c>
      <c r="B54" s="548"/>
      <c r="C54" s="188"/>
      <c r="D54" s="188"/>
      <c r="E54" s="188"/>
      <c r="F54" s="188"/>
      <c r="G54" s="189"/>
      <c r="H54" s="590"/>
      <c r="I54" s="591"/>
      <c r="J54" s="591"/>
      <c r="K54" s="591"/>
      <c r="L54" s="591"/>
      <c r="M54" s="591"/>
      <c r="N54" s="591"/>
      <c r="O54" s="591"/>
      <c r="P54" s="591"/>
      <c r="Q54" s="591"/>
      <c r="R54" s="591"/>
      <c r="S54" s="591"/>
      <c r="T54" s="591"/>
      <c r="U54" s="591"/>
      <c r="V54" s="591"/>
      <c r="W54" s="591"/>
      <c r="X54" s="591"/>
      <c r="Y54" s="592"/>
    </row>
    <row r="55" spans="1:25" ht="20.100000000000001" customHeight="1" x14ac:dyDescent="0.25">
      <c r="A55" s="550"/>
      <c r="B55" s="548"/>
      <c r="C55" s="585" t="s">
        <v>165</v>
      </c>
      <c r="D55" s="586"/>
      <c r="E55" s="194"/>
      <c r="F55" s="194"/>
      <c r="G55" s="191"/>
      <c r="H55" s="597"/>
      <c r="I55" s="598"/>
      <c r="J55" s="598"/>
      <c r="K55" s="598"/>
      <c r="L55" s="598"/>
      <c r="M55" s="598"/>
      <c r="N55" s="598"/>
      <c r="O55" s="598"/>
      <c r="P55" s="598"/>
      <c r="Q55" s="598"/>
      <c r="R55" s="598"/>
      <c r="S55" s="598"/>
      <c r="T55" s="598"/>
      <c r="U55" s="598"/>
      <c r="V55" s="598"/>
      <c r="W55" s="598"/>
      <c r="X55" s="598"/>
      <c r="Y55" s="599"/>
    </row>
    <row r="56" spans="1:25" ht="9.9499999999999993" customHeight="1" x14ac:dyDescent="0.25">
      <c r="A56" s="551"/>
      <c r="B56" s="548"/>
      <c r="C56" s="183"/>
      <c r="D56" s="183"/>
      <c r="E56" s="183"/>
      <c r="F56" s="183"/>
      <c r="G56" s="190"/>
      <c r="H56" s="593"/>
      <c r="I56" s="594"/>
      <c r="J56" s="594"/>
      <c r="K56" s="594"/>
      <c r="L56" s="594"/>
      <c r="M56" s="594"/>
      <c r="N56" s="594"/>
      <c r="O56" s="594"/>
      <c r="P56" s="594"/>
      <c r="Q56" s="594"/>
      <c r="R56" s="594"/>
      <c r="S56" s="594"/>
      <c r="T56" s="594"/>
      <c r="U56" s="594"/>
      <c r="V56" s="594"/>
      <c r="W56" s="594"/>
      <c r="X56" s="594"/>
      <c r="Y56" s="595"/>
    </row>
    <row r="57" spans="1:25" ht="9.9499999999999993" customHeight="1" x14ac:dyDescent="0.25">
      <c r="A57" s="549">
        <f t="shared" si="7"/>
        <v>17</v>
      </c>
      <c r="B57" s="548"/>
      <c r="C57" s="188"/>
      <c r="D57" s="188"/>
      <c r="E57" s="188"/>
      <c r="F57" s="188"/>
      <c r="G57" s="189"/>
      <c r="H57" s="590"/>
      <c r="I57" s="591"/>
      <c r="J57" s="591"/>
      <c r="K57" s="591"/>
      <c r="L57" s="591"/>
      <c r="M57" s="591"/>
      <c r="N57" s="591"/>
      <c r="O57" s="591"/>
      <c r="P57" s="591"/>
      <c r="Q57" s="591"/>
      <c r="R57" s="591"/>
      <c r="S57" s="591"/>
      <c r="T57" s="591"/>
      <c r="U57" s="591"/>
      <c r="V57" s="591"/>
      <c r="W57" s="591"/>
      <c r="X57" s="591"/>
      <c r="Y57" s="592"/>
    </row>
    <row r="58" spans="1:25" ht="20.100000000000001" customHeight="1" x14ac:dyDescent="0.25">
      <c r="A58" s="550"/>
      <c r="B58" s="548"/>
      <c r="C58" s="585" t="s">
        <v>165</v>
      </c>
      <c r="D58" s="586"/>
      <c r="E58" s="194"/>
      <c r="F58" s="194"/>
      <c r="G58" s="191"/>
      <c r="H58" s="597"/>
      <c r="I58" s="598"/>
      <c r="J58" s="598"/>
      <c r="K58" s="598"/>
      <c r="L58" s="598"/>
      <c r="M58" s="598"/>
      <c r="N58" s="598"/>
      <c r="O58" s="598"/>
      <c r="P58" s="598"/>
      <c r="Q58" s="598"/>
      <c r="R58" s="598"/>
      <c r="S58" s="598"/>
      <c r="T58" s="598"/>
      <c r="U58" s="598"/>
      <c r="V58" s="598"/>
      <c r="W58" s="598"/>
      <c r="X58" s="598"/>
      <c r="Y58" s="599"/>
    </row>
    <row r="59" spans="1:25" ht="9.9499999999999993" customHeight="1" x14ac:dyDescent="0.25">
      <c r="A59" s="551"/>
      <c r="B59" s="548"/>
      <c r="C59" s="183"/>
      <c r="D59" s="183"/>
      <c r="E59" s="183"/>
      <c r="F59" s="183"/>
      <c r="G59" s="190"/>
      <c r="H59" s="593"/>
      <c r="I59" s="594"/>
      <c r="J59" s="594"/>
      <c r="K59" s="594"/>
      <c r="L59" s="594"/>
      <c r="M59" s="594"/>
      <c r="N59" s="594"/>
      <c r="O59" s="594"/>
      <c r="P59" s="594"/>
      <c r="Q59" s="594"/>
      <c r="R59" s="594"/>
      <c r="S59" s="594"/>
      <c r="T59" s="594"/>
      <c r="U59" s="594"/>
      <c r="V59" s="594"/>
      <c r="W59" s="594"/>
      <c r="X59" s="594"/>
      <c r="Y59" s="595"/>
    </row>
    <row r="60" spans="1:25" ht="9.9499999999999993" customHeight="1" x14ac:dyDescent="0.25">
      <c r="A60" s="549">
        <f t="shared" si="7"/>
        <v>18</v>
      </c>
      <c r="B60" s="548"/>
      <c r="C60" s="188"/>
      <c r="D60" s="188"/>
      <c r="E60" s="188"/>
      <c r="F60" s="188"/>
      <c r="G60" s="189"/>
      <c r="H60" s="590"/>
      <c r="I60" s="591"/>
      <c r="J60" s="591"/>
      <c r="K60" s="591"/>
      <c r="L60" s="591"/>
      <c r="M60" s="591"/>
      <c r="N60" s="591"/>
      <c r="O60" s="591"/>
      <c r="P60" s="591"/>
      <c r="Q60" s="591"/>
      <c r="R60" s="591"/>
      <c r="S60" s="591"/>
      <c r="T60" s="591"/>
      <c r="U60" s="591"/>
      <c r="V60" s="591"/>
      <c r="W60" s="591"/>
      <c r="X60" s="591"/>
      <c r="Y60" s="592"/>
    </row>
    <row r="61" spans="1:25" ht="20.100000000000001" customHeight="1" x14ac:dyDescent="0.25">
      <c r="A61" s="550"/>
      <c r="B61" s="548"/>
      <c r="C61" s="585" t="s">
        <v>165</v>
      </c>
      <c r="D61" s="586"/>
      <c r="E61" s="194"/>
      <c r="F61" s="194"/>
      <c r="G61" s="191"/>
      <c r="H61" s="597"/>
      <c r="I61" s="598"/>
      <c r="J61" s="598"/>
      <c r="K61" s="598"/>
      <c r="L61" s="598"/>
      <c r="M61" s="598"/>
      <c r="N61" s="598"/>
      <c r="O61" s="598"/>
      <c r="P61" s="598"/>
      <c r="Q61" s="598"/>
      <c r="R61" s="598"/>
      <c r="S61" s="598"/>
      <c r="T61" s="598"/>
      <c r="U61" s="598"/>
      <c r="V61" s="598"/>
      <c r="W61" s="598"/>
      <c r="X61" s="598"/>
      <c r="Y61" s="599"/>
    </row>
    <row r="62" spans="1:25" ht="9.9499999999999993" customHeight="1" x14ac:dyDescent="0.25">
      <c r="A62" s="551"/>
      <c r="B62" s="548"/>
      <c r="C62" s="183"/>
      <c r="D62" s="183"/>
      <c r="E62" s="183"/>
      <c r="F62" s="183"/>
      <c r="G62" s="190"/>
      <c r="H62" s="593"/>
      <c r="I62" s="594"/>
      <c r="J62" s="594"/>
      <c r="K62" s="594"/>
      <c r="L62" s="594"/>
      <c r="M62" s="594"/>
      <c r="N62" s="594"/>
      <c r="O62" s="594"/>
      <c r="P62" s="594"/>
      <c r="Q62" s="594"/>
      <c r="R62" s="594"/>
      <c r="S62" s="594"/>
      <c r="T62" s="594"/>
      <c r="U62" s="594"/>
      <c r="V62" s="594"/>
      <c r="W62" s="594"/>
      <c r="X62" s="594"/>
      <c r="Y62" s="595"/>
    </row>
    <row r="63" spans="1:25" ht="9.9499999999999993" customHeight="1" x14ac:dyDescent="0.25">
      <c r="A63" s="549">
        <f t="shared" si="7"/>
        <v>19</v>
      </c>
      <c r="B63" s="548"/>
      <c r="C63" s="188"/>
      <c r="D63" s="188"/>
      <c r="E63" s="188"/>
      <c r="F63" s="188"/>
      <c r="G63" s="189"/>
      <c r="H63" s="590"/>
      <c r="I63" s="591"/>
      <c r="J63" s="591"/>
      <c r="K63" s="591"/>
      <c r="L63" s="591"/>
      <c r="M63" s="591"/>
      <c r="N63" s="591"/>
      <c r="O63" s="591"/>
      <c r="P63" s="591"/>
      <c r="Q63" s="591"/>
      <c r="R63" s="591"/>
      <c r="S63" s="591"/>
      <c r="T63" s="591"/>
      <c r="U63" s="591"/>
      <c r="V63" s="591"/>
      <c r="W63" s="591"/>
      <c r="X63" s="591"/>
      <c r="Y63" s="592"/>
    </row>
    <row r="64" spans="1:25" ht="20.100000000000001" customHeight="1" x14ac:dyDescent="0.25">
      <c r="A64" s="550"/>
      <c r="B64" s="548"/>
      <c r="C64" s="585" t="s">
        <v>165</v>
      </c>
      <c r="D64" s="586"/>
      <c r="E64" s="194"/>
      <c r="F64" s="194"/>
      <c r="G64" s="191"/>
      <c r="H64" s="597"/>
      <c r="I64" s="598"/>
      <c r="J64" s="598"/>
      <c r="K64" s="598"/>
      <c r="L64" s="598"/>
      <c r="M64" s="598"/>
      <c r="N64" s="598"/>
      <c r="O64" s="598"/>
      <c r="P64" s="598"/>
      <c r="Q64" s="598"/>
      <c r="R64" s="598"/>
      <c r="S64" s="598"/>
      <c r="T64" s="598"/>
      <c r="U64" s="598"/>
      <c r="V64" s="598"/>
      <c r="W64" s="598"/>
      <c r="X64" s="598"/>
      <c r="Y64" s="599"/>
    </row>
    <row r="65" spans="1:25" ht="9.9499999999999993" customHeight="1" x14ac:dyDescent="0.25">
      <c r="A65" s="551"/>
      <c r="B65" s="548"/>
      <c r="C65" s="183"/>
      <c r="D65" s="183"/>
      <c r="E65" s="183"/>
      <c r="F65" s="183"/>
      <c r="G65" s="190"/>
      <c r="H65" s="593"/>
      <c r="I65" s="594"/>
      <c r="J65" s="594"/>
      <c r="K65" s="594"/>
      <c r="L65" s="594"/>
      <c r="M65" s="594"/>
      <c r="N65" s="594"/>
      <c r="O65" s="594"/>
      <c r="P65" s="594"/>
      <c r="Q65" s="594"/>
      <c r="R65" s="594"/>
      <c r="S65" s="594"/>
      <c r="T65" s="594"/>
      <c r="U65" s="594"/>
      <c r="V65" s="594"/>
      <c r="W65" s="594"/>
      <c r="X65" s="594"/>
      <c r="Y65" s="595"/>
    </row>
    <row r="66" spans="1:25" ht="9.9499999999999993" customHeight="1" x14ac:dyDescent="0.25">
      <c r="A66" s="549">
        <f t="shared" si="7"/>
        <v>20</v>
      </c>
      <c r="B66" s="548"/>
      <c r="C66" s="188"/>
      <c r="D66" s="188"/>
      <c r="E66" s="188"/>
      <c r="F66" s="188"/>
      <c r="G66" s="189"/>
      <c r="H66" s="590"/>
      <c r="I66" s="591"/>
      <c r="J66" s="591"/>
      <c r="K66" s="591"/>
      <c r="L66" s="591"/>
      <c r="M66" s="591"/>
      <c r="N66" s="591"/>
      <c r="O66" s="591"/>
      <c r="P66" s="591"/>
      <c r="Q66" s="591"/>
      <c r="R66" s="591"/>
      <c r="S66" s="591"/>
      <c r="T66" s="591"/>
      <c r="U66" s="591"/>
      <c r="V66" s="591"/>
      <c r="W66" s="591"/>
      <c r="X66" s="591"/>
      <c r="Y66" s="592"/>
    </row>
    <row r="67" spans="1:25" ht="20.100000000000001" customHeight="1" x14ac:dyDescent="0.25">
      <c r="A67" s="550"/>
      <c r="B67" s="548"/>
      <c r="C67" s="585" t="s">
        <v>165</v>
      </c>
      <c r="D67" s="586"/>
      <c r="E67" s="194"/>
      <c r="F67" s="194"/>
      <c r="G67" s="191"/>
      <c r="H67" s="597"/>
      <c r="I67" s="598"/>
      <c r="J67" s="598"/>
      <c r="K67" s="598"/>
      <c r="L67" s="598"/>
      <c r="M67" s="598"/>
      <c r="N67" s="598"/>
      <c r="O67" s="598"/>
      <c r="P67" s="598"/>
      <c r="Q67" s="598"/>
      <c r="R67" s="598"/>
      <c r="S67" s="598"/>
      <c r="T67" s="598"/>
      <c r="U67" s="598"/>
      <c r="V67" s="598"/>
      <c r="W67" s="598"/>
      <c r="X67" s="598"/>
      <c r="Y67" s="599"/>
    </row>
    <row r="68" spans="1:25" ht="9.9499999999999993" customHeight="1" x14ac:dyDescent="0.25">
      <c r="A68" s="551"/>
      <c r="B68" s="548"/>
      <c r="C68" s="183"/>
      <c r="D68" s="183"/>
      <c r="E68" s="183"/>
      <c r="F68" s="183"/>
      <c r="G68" s="190"/>
      <c r="H68" s="593"/>
      <c r="I68" s="594"/>
      <c r="J68" s="594"/>
      <c r="K68" s="594"/>
      <c r="L68" s="594"/>
      <c r="M68" s="594"/>
      <c r="N68" s="594"/>
      <c r="O68" s="594"/>
      <c r="P68" s="594"/>
      <c r="Q68" s="594"/>
      <c r="R68" s="594"/>
      <c r="S68" s="594"/>
      <c r="T68" s="594"/>
      <c r="U68" s="594"/>
      <c r="V68" s="594"/>
      <c r="W68" s="594"/>
      <c r="X68" s="594"/>
      <c r="Y68" s="595"/>
    </row>
    <row r="69" spans="1:25" ht="9.9499999999999993" customHeight="1" x14ac:dyDescent="0.25">
      <c r="A69" s="549">
        <f t="shared" ref="A69:A96" si="8">1+A66</f>
        <v>21</v>
      </c>
      <c r="B69" s="548"/>
      <c r="C69" s="188"/>
      <c r="D69" s="188"/>
      <c r="E69" s="188"/>
      <c r="F69" s="188"/>
      <c r="G69" s="189"/>
      <c r="H69" s="590"/>
      <c r="I69" s="591"/>
      <c r="J69" s="591"/>
      <c r="K69" s="591"/>
      <c r="L69" s="591"/>
      <c r="M69" s="591"/>
      <c r="N69" s="591"/>
      <c r="O69" s="591"/>
      <c r="P69" s="591"/>
      <c r="Q69" s="591"/>
      <c r="R69" s="591"/>
      <c r="S69" s="591"/>
      <c r="T69" s="591"/>
      <c r="U69" s="591"/>
      <c r="V69" s="591"/>
      <c r="W69" s="591"/>
      <c r="X69" s="591"/>
      <c r="Y69" s="592"/>
    </row>
    <row r="70" spans="1:25" ht="20.100000000000001" customHeight="1" x14ac:dyDescent="0.25">
      <c r="A70" s="550"/>
      <c r="B70" s="548"/>
      <c r="C70" s="585" t="s">
        <v>165</v>
      </c>
      <c r="D70" s="586"/>
      <c r="E70" s="194"/>
      <c r="F70" s="194"/>
      <c r="G70" s="191"/>
      <c r="H70" s="597"/>
      <c r="I70" s="598"/>
      <c r="J70" s="598"/>
      <c r="K70" s="598"/>
      <c r="L70" s="598"/>
      <c r="M70" s="598"/>
      <c r="N70" s="598"/>
      <c r="O70" s="598"/>
      <c r="P70" s="598"/>
      <c r="Q70" s="598"/>
      <c r="R70" s="598"/>
      <c r="S70" s="598"/>
      <c r="T70" s="598"/>
      <c r="U70" s="598"/>
      <c r="V70" s="598"/>
      <c r="W70" s="598"/>
      <c r="X70" s="598"/>
      <c r="Y70" s="599"/>
    </row>
    <row r="71" spans="1:25" ht="9.9499999999999993" customHeight="1" x14ac:dyDescent="0.25">
      <c r="A71" s="551"/>
      <c r="B71" s="548"/>
      <c r="C71" s="183"/>
      <c r="D71" s="183"/>
      <c r="E71" s="183"/>
      <c r="F71" s="183"/>
      <c r="G71" s="190"/>
      <c r="H71" s="593"/>
      <c r="I71" s="594"/>
      <c r="J71" s="594"/>
      <c r="K71" s="594"/>
      <c r="L71" s="594"/>
      <c r="M71" s="594"/>
      <c r="N71" s="594"/>
      <c r="O71" s="594"/>
      <c r="P71" s="594"/>
      <c r="Q71" s="594"/>
      <c r="R71" s="594"/>
      <c r="S71" s="594"/>
      <c r="T71" s="594"/>
      <c r="U71" s="594"/>
      <c r="V71" s="594"/>
      <c r="W71" s="594"/>
      <c r="X71" s="594"/>
      <c r="Y71" s="595"/>
    </row>
    <row r="72" spans="1:25" ht="9.9499999999999993" customHeight="1" x14ac:dyDescent="0.25">
      <c r="A72" s="549">
        <f t="shared" si="8"/>
        <v>22</v>
      </c>
      <c r="B72" s="548"/>
      <c r="C72" s="188"/>
      <c r="D72" s="188"/>
      <c r="E72" s="188"/>
      <c r="F72" s="188"/>
      <c r="G72" s="189"/>
      <c r="H72" s="590"/>
      <c r="I72" s="591"/>
      <c r="J72" s="591"/>
      <c r="K72" s="591"/>
      <c r="L72" s="591"/>
      <c r="M72" s="591"/>
      <c r="N72" s="591"/>
      <c r="O72" s="591"/>
      <c r="P72" s="591"/>
      <c r="Q72" s="591"/>
      <c r="R72" s="591"/>
      <c r="S72" s="591"/>
      <c r="T72" s="591"/>
      <c r="U72" s="591"/>
      <c r="V72" s="591"/>
      <c r="W72" s="591"/>
      <c r="X72" s="591"/>
      <c r="Y72" s="592"/>
    </row>
    <row r="73" spans="1:25" ht="20.100000000000001" customHeight="1" x14ac:dyDescent="0.25">
      <c r="A73" s="550"/>
      <c r="B73" s="548"/>
      <c r="C73" s="585" t="s">
        <v>165</v>
      </c>
      <c r="D73" s="586"/>
      <c r="E73" s="194"/>
      <c r="F73" s="194"/>
      <c r="G73" s="191"/>
      <c r="H73" s="597"/>
      <c r="I73" s="598"/>
      <c r="J73" s="598"/>
      <c r="K73" s="598"/>
      <c r="L73" s="598"/>
      <c r="M73" s="598"/>
      <c r="N73" s="598"/>
      <c r="O73" s="598"/>
      <c r="P73" s="598"/>
      <c r="Q73" s="598"/>
      <c r="R73" s="598"/>
      <c r="S73" s="598"/>
      <c r="T73" s="598"/>
      <c r="U73" s="598"/>
      <c r="V73" s="598"/>
      <c r="W73" s="598"/>
      <c r="X73" s="598"/>
      <c r="Y73" s="599"/>
    </row>
    <row r="74" spans="1:25" ht="9.9499999999999993" customHeight="1" x14ac:dyDescent="0.25">
      <c r="A74" s="551"/>
      <c r="B74" s="548"/>
      <c r="C74" s="183"/>
      <c r="D74" s="183"/>
      <c r="E74" s="183"/>
      <c r="F74" s="183"/>
      <c r="G74" s="190"/>
      <c r="H74" s="593"/>
      <c r="I74" s="594"/>
      <c r="J74" s="594"/>
      <c r="K74" s="594"/>
      <c r="L74" s="594"/>
      <c r="M74" s="594"/>
      <c r="N74" s="594"/>
      <c r="O74" s="594"/>
      <c r="P74" s="594"/>
      <c r="Q74" s="594"/>
      <c r="R74" s="594"/>
      <c r="S74" s="594"/>
      <c r="T74" s="594"/>
      <c r="U74" s="594"/>
      <c r="V74" s="594"/>
      <c r="W74" s="594"/>
      <c r="X74" s="594"/>
      <c r="Y74" s="595"/>
    </row>
    <row r="75" spans="1:25" ht="9.9499999999999993" customHeight="1" x14ac:dyDescent="0.25">
      <c r="A75" s="549">
        <f t="shared" si="8"/>
        <v>23</v>
      </c>
      <c r="B75" s="548"/>
      <c r="C75" s="188"/>
      <c r="D75" s="188"/>
      <c r="E75" s="188"/>
      <c r="F75" s="188"/>
      <c r="G75" s="189"/>
      <c r="H75" s="590"/>
      <c r="I75" s="591"/>
      <c r="J75" s="591"/>
      <c r="K75" s="591"/>
      <c r="L75" s="591"/>
      <c r="M75" s="591"/>
      <c r="N75" s="591"/>
      <c r="O75" s="591"/>
      <c r="P75" s="591"/>
      <c r="Q75" s="591"/>
      <c r="R75" s="591"/>
      <c r="S75" s="591"/>
      <c r="T75" s="591"/>
      <c r="U75" s="591"/>
      <c r="V75" s="591"/>
      <c r="W75" s="591"/>
      <c r="X75" s="591"/>
      <c r="Y75" s="592"/>
    </row>
    <row r="76" spans="1:25" ht="20.100000000000001" customHeight="1" x14ac:dyDescent="0.25">
      <c r="A76" s="550"/>
      <c r="B76" s="548"/>
      <c r="C76" s="585" t="s">
        <v>165</v>
      </c>
      <c r="D76" s="586"/>
      <c r="E76" s="194"/>
      <c r="F76" s="194"/>
      <c r="G76" s="191"/>
      <c r="H76" s="597"/>
      <c r="I76" s="598"/>
      <c r="J76" s="598"/>
      <c r="K76" s="598"/>
      <c r="L76" s="598"/>
      <c r="M76" s="598"/>
      <c r="N76" s="598"/>
      <c r="O76" s="598"/>
      <c r="P76" s="598"/>
      <c r="Q76" s="598"/>
      <c r="R76" s="598"/>
      <c r="S76" s="598"/>
      <c r="T76" s="598"/>
      <c r="U76" s="598"/>
      <c r="V76" s="598"/>
      <c r="W76" s="598"/>
      <c r="X76" s="598"/>
      <c r="Y76" s="599"/>
    </row>
    <row r="77" spans="1:25" ht="9.9499999999999993" customHeight="1" x14ac:dyDescent="0.25">
      <c r="A77" s="551"/>
      <c r="B77" s="548"/>
      <c r="C77" s="183"/>
      <c r="D77" s="183"/>
      <c r="E77" s="183"/>
      <c r="F77" s="183"/>
      <c r="G77" s="190"/>
      <c r="H77" s="593"/>
      <c r="I77" s="594"/>
      <c r="J77" s="594"/>
      <c r="K77" s="594"/>
      <c r="L77" s="594"/>
      <c r="M77" s="594"/>
      <c r="N77" s="594"/>
      <c r="O77" s="594"/>
      <c r="P77" s="594"/>
      <c r="Q77" s="594"/>
      <c r="R77" s="594"/>
      <c r="S77" s="594"/>
      <c r="T77" s="594"/>
      <c r="U77" s="594"/>
      <c r="V77" s="594"/>
      <c r="W77" s="594"/>
      <c r="X77" s="594"/>
      <c r="Y77" s="595"/>
    </row>
    <row r="78" spans="1:25" ht="9.9499999999999993" customHeight="1" x14ac:dyDescent="0.25">
      <c r="A78" s="549">
        <f t="shared" si="8"/>
        <v>24</v>
      </c>
      <c r="B78" s="548"/>
      <c r="C78" s="188"/>
      <c r="D78" s="188"/>
      <c r="E78" s="188"/>
      <c r="F78" s="188"/>
      <c r="G78" s="189"/>
      <c r="H78" s="590"/>
      <c r="I78" s="591"/>
      <c r="J78" s="591"/>
      <c r="K78" s="591"/>
      <c r="L78" s="591"/>
      <c r="M78" s="591"/>
      <c r="N78" s="591"/>
      <c r="O78" s="591"/>
      <c r="P78" s="591"/>
      <c r="Q78" s="591"/>
      <c r="R78" s="591"/>
      <c r="S78" s="591"/>
      <c r="T78" s="591"/>
      <c r="U78" s="591"/>
      <c r="V78" s="591"/>
      <c r="W78" s="591"/>
      <c r="X78" s="591"/>
      <c r="Y78" s="592"/>
    </row>
    <row r="79" spans="1:25" ht="20.100000000000001" customHeight="1" x14ac:dyDescent="0.25">
      <c r="A79" s="550"/>
      <c r="B79" s="548"/>
      <c r="C79" s="585" t="s">
        <v>165</v>
      </c>
      <c r="D79" s="586"/>
      <c r="E79" s="194"/>
      <c r="F79" s="194"/>
      <c r="G79" s="191"/>
      <c r="H79" s="597"/>
      <c r="I79" s="598"/>
      <c r="J79" s="598"/>
      <c r="K79" s="598"/>
      <c r="L79" s="598"/>
      <c r="M79" s="598"/>
      <c r="N79" s="598"/>
      <c r="O79" s="598"/>
      <c r="P79" s="598"/>
      <c r="Q79" s="598"/>
      <c r="R79" s="598"/>
      <c r="S79" s="598"/>
      <c r="T79" s="598"/>
      <c r="U79" s="598"/>
      <c r="V79" s="598"/>
      <c r="W79" s="598"/>
      <c r="X79" s="598"/>
      <c r="Y79" s="599"/>
    </row>
    <row r="80" spans="1:25" ht="9.9499999999999993" customHeight="1" x14ac:dyDescent="0.25">
      <c r="A80" s="551"/>
      <c r="B80" s="548"/>
      <c r="C80" s="183"/>
      <c r="D80" s="183"/>
      <c r="E80" s="183"/>
      <c r="F80" s="183"/>
      <c r="G80" s="190"/>
      <c r="H80" s="593"/>
      <c r="I80" s="594"/>
      <c r="J80" s="594"/>
      <c r="K80" s="594"/>
      <c r="L80" s="594"/>
      <c r="M80" s="594"/>
      <c r="N80" s="594"/>
      <c r="O80" s="594"/>
      <c r="P80" s="594"/>
      <c r="Q80" s="594"/>
      <c r="R80" s="594"/>
      <c r="S80" s="594"/>
      <c r="T80" s="594"/>
      <c r="U80" s="594"/>
      <c r="V80" s="594"/>
      <c r="W80" s="594"/>
      <c r="X80" s="594"/>
      <c r="Y80" s="595"/>
    </row>
    <row r="81" spans="1:25" ht="9.9499999999999993" customHeight="1" x14ac:dyDescent="0.25">
      <c r="A81" s="549">
        <f t="shared" si="8"/>
        <v>25</v>
      </c>
      <c r="B81" s="548"/>
      <c r="C81" s="188"/>
      <c r="D81" s="188"/>
      <c r="E81" s="188"/>
      <c r="F81" s="188"/>
      <c r="G81" s="189"/>
      <c r="H81" s="590"/>
      <c r="I81" s="591"/>
      <c r="J81" s="591"/>
      <c r="K81" s="591"/>
      <c r="L81" s="591"/>
      <c r="M81" s="591"/>
      <c r="N81" s="591"/>
      <c r="O81" s="591"/>
      <c r="P81" s="591"/>
      <c r="Q81" s="591"/>
      <c r="R81" s="591"/>
      <c r="S81" s="591"/>
      <c r="T81" s="591"/>
      <c r="U81" s="591"/>
      <c r="V81" s="591"/>
      <c r="W81" s="591"/>
      <c r="X81" s="591"/>
      <c r="Y81" s="592"/>
    </row>
    <row r="82" spans="1:25" ht="20.100000000000001" customHeight="1" x14ac:dyDescent="0.25">
      <c r="A82" s="550"/>
      <c r="B82" s="548"/>
      <c r="C82" s="585" t="s">
        <v>165</v>
      </c>
      <c r="D82" s="586"/>
      <c r="E82" s="194"/>
      <c r="F82" s="194"/>
      <c r="G82" s="191"/>
      <c r="H82" s="597"/>
      <c r="I82" s="598"/>
      <c r="J82" s="598"/>
      <c r="K82" s="598"/>
      <c r="L82" s="598"/>
      <c r="M82" s="598"/>
      <c r="N82" s="598"/>
      <c r="O82" s="598"/>
      <c r="P82" s="598"/>
      <c r="Q82" s="598"/>
      <c r="R82" s="598"/>
      <c r="S82" s="598"/>
      <c r="T82" s="598"/>
      <c r="U82" s="598"/>
      <c r="V82" s="598"/>
      <c r="W82" s="598"/>
      <c r="X82" s="598"/>
      <c r="Y82" s="599"/>
    </row>
    <row r="83" spans="1:25" ht="9.9499999999999993" customHeight="1" x14ac:dyDescent="0.25">
      <c r="A83" s="551"/>
      <c r="B83" s="548"/>
      <c r="C83" s="183"/>
      <c r="D83" s="183"/>
      <c r="E83" s="183"/>
      <c r="F83" s="183"/>
      <c r="G83" s="190"/>
      <c r="H83" s="593"/>
      <c r="I83" s="594"/>
      <c r="J83" s="594"/>
      <c r="K83" s="594"/>
      <c r="L83" s="594"/>
      <c r="M83" s="594"/>
      <c r="N83" s="594"/>
      <c r="O83" s="594"/>
      <c r="P83" s="594"/>
      <c r="Q83" s="594"/>
      <c r="R83" s="594"/>
      <c r="S83" s="594"/>
      <c r="T83" s="594"/>
      <c r="U83" s="594"/>
      <c r="V83" s="594"/>
      <c r="W83" s="594"/>
      <c r="X83" s="594"/>
      <c r="Y83" s="595"/>
    </row>
    <row r="84" spans="1:25" ht="9.9499999999999993" customHeight="1" x14ac:dyDescent="0.25">
      <c r="A84" s="549">
        <f t="shared" si="8"/>
        <v>26</v>
      </c>
      <c r="B84" s="548"/>
      <c r="C84" s="188"/>
      <c r="D84" s="188"/>
      <c r="E84" s="188"/>
      <c r="F84" s="188"/>
      <c r="G84" s="189"/>
      <c r="H84" s="590"/>
      <c r="I84" s="591"/>
      <c r="J84" s="591"/>
      <c r="K84" s="591"/>
      <c r="L84" s="591"/>
      <c r="M84" s="591"/>
      <c r="N84" s="591"/>
      <c r="O84" s="591"/>
      <c r="P84" s="591"/>
      <c r="Q84" s="591"/>
      <c r="R84" s="591"/>
      <c r="S84" s="591"/>
      <c r="T84" s="591"/>
      <c r="U84" s="591"/>
      <c r="V84" s="591"/>
      <c r="W84" s="591"/>
      <c r="X84" s="591"/>
      <c r="Y84" s="592"/>
    </row>
    <row r="85" spans="1:25" ht="20.100000000000001" customHeight="1" x14ac:dyDescent="0.25">
      <c r="A85" s="550"/>
      <c r="B85" s="548"/>
      <c r="C85" s="585" t="s">
        <v>165</v>
      </c>
      <c r="D85" s="586"/>
      <c r="E85" s="194"/>
      <c r="F85" s="194"/>
      <c r="G85" s="191"/>
      <c r="H85" s="597"/>
      <c r="I85" s="598"/>
      <c r="J85" s="598"/>
      <c r="K85" s="598"/>
      <c r="L85" s="598"/>
      <c r="M85" s="598"/>
      <c r="N85" s="598"/>
      <c r="O85" s="598"/>
      <c r="P85" s="598"/>
      <c r="Q85" s="598"/>
      <c r="R85" s="598"/>
      <c r="S85" s="598"/>
      <c r="T85" s="598"/>
      <c r="U85" s="598"/>
      <c r="V85" s="598"/>
      <c r="W85" s="598"/>
      <c r="X85" s="598"/>
      <c r="Y85" s="599"/>
    </row>
    <row r="86" spans="1:25" ht="9.9499999999999993" customHeight="1" x14ac:dyDescent="0.25">
      <c r="A86" s="551"/>
      <c r="B86" s="548"/>
      <c r="C86" s="183"/>
      <c r="D86" s="183"/>
      <c r="E86" s="183"/>
      <c r="F86" s="183"/>
      <c r="G86" s="190"/>
      <c r="H86" s="593"/>
      <c r="I86" s="594"/>
      <c r="J86" s="594"/>
      <c r="K86" s="594"/>
      <c r="L86" s="594"/>
      <c r="M86" s="594"/>
      <c r="N86" s="594"/>
      <c r="O86" s="594"/>
      <c r="P86" s="594"/>
      <c r="Q86" s="594"/>
      <c r="R86" s="594"/>
      <c r="S86" s="594"/>
      <c r="T86" s="594"/>
      <c r="U86" s="594"/>
      <c r="V86" s="594"/>
      <c r="W86" s="594"/>
      <c r="X86" s="594"/>
      <c r="Y86" s="595"/>
    </row>
    <row r="87" spans="1:25" ht="9.9499999999999993" customHeight="1" x14ac:dyDescent="0.25">
      <c r="A87" s="549">
        <f t="shared" si="8"/>
        <v>27</v>
      </c>
      <c r="B87" s="548"/>
      <c r="C87" s="188"/>
      <c r="D87" s="188"/>
      <c r="E87" s="188"/>
      <c r="F87" s="188"/>
      <c r="G87" s="189"/>
      <c r="H87" s="590"/>
      <c r="I87" s="591"/>
      <c r="J87" s="591"/>
      <c r="K87" s="591"/>
      <c r="L87" s="591"/>
      <c r="M87" s="591"/>
      <c r="N87" s="591"/>
      <c r="O87" s="591"/>
      <c r="P87" s="591"/>
      <c r="Q87" s="591"/>
      <c r="R87" s="591"/>
      <c r="S87" s="591"/>
      <c r="T87" s="591"/>
      <c r="U87" s="591"/>
      <c r="V87" s="591"/>
      <c r="W87" s="591"/>
      <c r="X87" s="591"/>
      <c r="Y87" s="592"/>
    </row>
    <row r="88" spans="1:25" ht="20.100000000000001" customHeight="1" x14ac:dyDescent="0.25">
      <c r="A88" s="550"/>
      <c r="B88" s="548"/>
      <c r="C88" s="585" t="s">
        <v>165</v>
      </c>
      <c r="D88" s="586"/>
      <c r="E88" s="194"/>
      <c r="F88" s="194"/>
      <c r="G88" s="191"/>
      <c r="H88" s="597"/>
      <c r="I88" s="598"/>
      <c r="J88" s="598"/>
      <c r="K88" s="598"/>
      <c r="L88" s="598"/>
      <c r="M88" s="598"/>
      <c r="N88" s="598"/>
      <c r="O88" s="598"/>
      <c r="P88" s="598"/>
      <c r="Q88" s="598"/>
      <c r="R88" s="598"/>
      <c r="S88" s="598"/>
      <c r="T88" s="598"/>
      <c r="U88" s="598"/>
      <c r="V88" s="598"/>
      <c r="W88" s="598"/>
      <c r="X88" s="598"/>
      <c r="Y88" s="599"/>
    </row>
    <row r="89" spans="1:25" ht="9.9499999999999993" customHeight="1" x14ac:dyDescent="0.25">
      <c r="A89" s="551"/>
      <c r="B89" s="548"/>
      <c r="C89" s="183"/>
      <c r="D89" s="183"/>
      <c r="E89" s="183"/>
      <c r="F89" s="183"/>
      <c r="G89" s="190"/>
      <c r="H89" s="593"/>
      <c r="I89" s="594"/>
      <c r="J89" s="594"/>
      <c r="K89" s="594"/>
      <c r="L89" s="594"/>
      <c r="M89" s="594"/>
      <c r="N89" s="594"/>
      <c r="O89" s="594"/>
      <c r="P89" s="594"/>
      <c r="Q89" s="594"/>
      <c r="R89" s="594"/>
      <c r="S89" s="594"/>
      <c r="T89" s="594"/>
      <c r="U89" s="594"/>
      <c r="V89" s="594"/>
      <c r="W89" s="594"/>
      <c r="X89" s="594"/>
      <c r="Y89" s="595"/>
    </row>
    <row r="90" spans="1:25" ht="9.9499999999999993" customHeight="1" x14ac:dyDescent="0.25">
      <c r="A90" s="549">
        <f t="shared" si="8"/>
        <v>28</v>
      </c>
      <c r="B90" s="548"/>
      <c r="C90" s="188"/>
      <c r="D90" s="188"/>
      <c r="E90" s="188"/>
      <c r="F90" s="188"/>
      <c r="G90" s="189"/>
      <c r="H90" s="590"/>
      <c r="I90" s="591"/>
      <c r="J90" s="591"/>
      <c r="K90" s="591"/>
      <c r="L90" s="591"/>
      <c r="M90" s="591"/>
      <c r="N90" s="591"/>
      <c r="O90" s="591"/>
      <c r="P90" s="591"/>
      <c r="Q90" s="591"/>
      <c r="R90" s="591"/>
      <c r="S90" s="591"/>
      <c r="T90" s="591"/>
      <c r="U90" s="591"/>
      <c r="V90" s="591"/>
      <c r="W90" s="591"/>
      <c r="X90" s="591"/>
      <c r="Y90" s="592"/>
    </row>
    <row r="91" spans="1:25" ht="20.100000000000001" customHeight="1" x14ac:dyDescent="0.25">
      <c r="A91" s="550"/>
      <c r="B91" s="548"/>
      <c r="C91" s="585" t="s">
        <v>165</v>
      </c>
      <c r="D91" s="586"/>
      <c r="E91" s="194"/>
      <c r="F91" s="194"/>
      <c r="G91" s="191"/>
      <c r="H91" s="597"/>
      <c r="I91" s="598"/>
      <c r="J91" s="598"/>
      <c r="K91" s="598"/>
      <c r="L91" s="598"/>
      <c r="M91" s="598"/>
      <c r="N91" s="598"/>
      <c r="O91" s="598"/>
      <c r="P91" s="598"/>
      <c r="Q91" s="598"/>
      <c r="R91" s="598"/>
      <c r="S91" s="598"/>
      <c r="T91" s="598"/>
      <c r="U91" s="598"/>
      <c r="V91" s="598"/>
      <c r="W91" s="598"/>
      <c r="X91" s="598"/>
      <c r="Y91" s="599"/>
    </row>
    <row r="92" spans="1:25" ht="9.9499999999999993" customHeight="1" x14ac:dyDescent="0.25">
      <c r="A92" s="551"/>
      <c r="B92" s="548"/>
      <c r="C92" s="183"/>
      <c r="D92" s="183"/>
      <c r="E92" s="183"/>
      <c r="F92" s="183"/>
      <c r="G92" s="190"/>
      <c r="H92" s="593"/>
      <c r="I92" s="594"/>
      <c r="J92" s="594"/>
      <c r="K92" s="594"/>
      <c r="L92" s="594"/>
      <c r="M92" s="594"/>
      <c r="N92" s="594"/>
      <c r="O92" s="594"/>
      <c r="P92" s="594"/>
      <c r="Q92" s="594"/>
      <c r="R92" s="594"/>
      <c r="S92" s="594"/>
      <c r="T92" s="594"/>
      <c r="U92" s="594"/>
      <c r="V92" s="594"/>
      <c r="W92" s="594"/>
      <c r="X92" s="594"/>
      <c r="Y92" s="595"/>
    </row>
    <row r="93" spans="1:25" ht="9.9499999999999993" customHeight="1" x14ac:dyDescent="0.25">
      <c r="A93" s="549">
        <f t="shared" si="8"/>
        <v>29</v>
      </c>
      <c r="B93" s="548"/>
      <c r="C93" s="188"/>
      <c r="D93" s="188"/>
      <c r="E93" s="188"/>
      <c r="F93" s="188"/>
      <c r="G93" s="189"/>
      <c r="H93" s="590"/>
      <c r="I93" s="591"/>
      <c r="J93" s="591"/>
      <c r="K93" s="591"/>
      <c r="L93" s="591"/>
      <c r="M93" s="591"/>
      <c r="N93" s="591"/>
      <c r="O93" s="591"/>
      <c r="P93" s="591"/>
      <c r="Q93" s="591"/>
      <c r="R93" s="591"/>
      <c r="S93" s="591"/>
      <c r="T93" s="591"/>
      <c r="U93" s="591"/>
      <c r="V93" s="591"/>
      <c r="W93" s="591"/>
      <c r="X93" s="591"/>
      <c r="Y93" s="592"/>
    </row>
    <row r="94" spans="1:25" ht="20.100000000000001" customHeight="1" x14ac:dyDescent="0.25">
      <c r="A94" s="550"/>
      <c r="B94" s="548"/>
      <c r="C94" s="585" t="s">
        <v>165</v>
      </c>
      <c r="D94" s="586"/>
      <c r="E94" s="194"/>
      <c r="F94" s="194"/>
      <c r="G94" s="191"/>
      <c r="H94" s="597"/>
      <c r="I94" s="598"/>
      <c r="J94" s="598"/>
      <c r="K94" s="598"/>
      <c r="L94" s="598"/>
      <c r="M94" s="598"/>
      <c r="N94" s="598"/>
      <c r="O94" s="598"/>
      <c r="P94" s="598"/>
      <c r="Q94" s="598"/>
      <c r="R94" s="598"/>
      <c r="S94" s="598"/>
      <c r="T94" s="598"/>
      <c r="U94" s="598"/>
      <c r="V94" s="598"/>
      <c r="W94" s="598"/>
      <c r="X94" s="598"/>
      <c r="Y94" s="599"/>
    </row>
    <row r="95" spans="1:25" ht="9.9499999999999993" customHeight="1" x14ac:dyDescent="0.25">
      <c r="A95" s="551"/>
      <c r="B95" s="548"/>
      <c r="C95" s="183"/>
      <c r="D95" s="183"/>
      <c r="E95" s="183"/>
      <c r="F95" s="183"/>
      <c r="G95" s="190"/>
      <c r="H95" s="593"/>
      <c r="I95" s="594"/>
      <c r="J95" s="594"/>
      <c r="K95" s="594"/>
      <c r="L95" s="594"/>
      <c r="M95" s="594"/>
      <c r="N95" s="594"/>
      <c r="O95" s="594"/>
      <c r="P95" s="594"/>
      <c r="Q95" s="594"/>
      <c r="R95" s="594"/>
      <c r="S95" s="594"/>
      <c r="T95" s="594"/>
      <c r="U95" s="594"/>
      <c r="V95" s="594"/>
      <c r="W95" s="594"/>
      <c r="X95" s="594"/>
      <c r="Y95" s="595"/>
    </row>
    <row r="96" spans="1:25" ht="9.9499999999999993" customHeight="1" x14ac:dyDescent="0.25">
      <c r="A96" s="549">
        <f t="shared" si="8"/>
        <v>30</v>
      </c>
      <c r="B96" s="548"/>
      <c r="C96" s="188"/>
      <c r="D96" s="188"/>
      <c r="E96" s="188"/>
      <c r="F96" s="188"/>
      <c r="G96" s="189"/>
      <c r="H96" s="590"/>
      <c r="I96" s="591"/>
      <c r="J96" s="591"/>
      <c r="K96" s="591"/>
      <c r="L96" s="591"/>
      <c r="M96" s="591"/>
      <c r="N96" s="591"/>
      <c r="O96" s="591"/>
      <c r="P96" s="591"/>
      <c r="Q96" s="591"/>
      <c r="R96" s="591"/>
      <c r="S96" s="591"/>
      <c r="T96" s="591"/>
      <c r="U96" s="591"/>
      <c r="V96" s="591"/>
      <c r="W96" s="591"/>
      <c r="X96" s="591"/>
      <c r="Y96" s="592"/>
    </row>
    <row r="97" spans="1:25" ht="20.100000000000001" customHeight="1" x14ac:dyDescent="0.25">
      <c r="A97" s="550"/>
      <c r="B97" s="548"/>
      <c r="C97" s="585" t="s">
        <v>165</v>
      </c>
      <c r="D97" s="586"/>
      <c r="E97" s="194"/>
      <c r="F97" s="194"/>
      <c r="G97" s="191"/>
      <c r="H97" s="597"/>
      <c r="I97" s="598"/>
      <c r="J97" s="598"/>
      <c r="K97" s="598"/>
      <c r="L97" s="598"/>
      <c r="M97" s="598"/>
      <c r="N97" s="598"/>
      <c r="O97" s="598"/>
      <c r="P97" s="598"/>
      <c r="Q97" s="598"/>
      <c r="R97" s="598"/>
      <c r="S97" s="598"/>
      <c r="T97" s="598"/>
      <c r="U97" s="598"/>
      <c r="V97" s="598"/>
      <c r="W97" s="598"/>
      <c r="X97" s="598"/>
      <c r="Y97" s="599"/>
    </row>
    <row r="98" spans="1:25" ht="9.9499999999999993" customHeight="1" x14ac:dyDescent="0.25">
      <c r="A98" s="551"/>
      <c r="B98" s="548"/>
      <c r="C98" s="183"/>
      <c r="D98" s="183"/>
      <c r="E98" s="183"/>
      <c r="F98" s="183"/>
      <c r="G98" s="190"/>
      <c r="H98" s="593"/>
      <c r="I98" s="594"/>
      <c r="J98" s="594"/>
      <c r="K98" s="594"/>
      <c r="L98" s="594"/>
      <c r="M98" s="594"/>
      <c r="N98" s="594"/>
      <c r="O98" s="594"/>
      <c r="P98" s="594"/>
      <c r="Q98" s="594"/>
      <c r="R98" s="594"/>
      <c r="S98" s="594"/>
      <c r="T98" s="594"/>
      <c r="U98" s="594"/>
      <c r="V98" s="594"/>
      <c r="W98" s="594"/>
      <c r="X98" s="594"/>
      <c r="Y98" s="595"/>
    </row>
    <row r="99" spans="1:25" ht="9.9499999999999993" customHeight="1" x14ac:dyDescent="0.25">
      <c r="A99" s="549">
        <f t="shared" ref="A99:A126" si="9">1+A96</f>
        <v>31</v>
      </c>
      <c r="B99" s="548"/>
      <c r="C99" s="188"/>
      <c r="D99" s="188"/>
      <c r="E99" s="188"/>
      <c r="F99" s="188"/>
      <c r="G99" s="189"/>
      <c r="H99" s="590"/>
      <c r="I99" s="591"/>
      <c r="J99" s="591"/>
      <c r="K99" s="591"/>
      <c r="L99" s="591"/>
      <c r="M99" s="591"/>
      <c r="N99" s="591"/>
      <c r="O99" s="591"/>
      <c r="P99" s="591"/>
      <c r="Q99" s="591"/>
      <c r="R99" s="591"/>
      <c r="S99" s="591"/>
      <c r="T99" s="591"/>
      <c r="U99" s="591"/>
      <c r="V99" s="591"/>
      <c r="W99" s="591"/>
      <c r="X99" s="591"/>
      <c r="Y99" s="592"/>
    </row>
    <row r="100" spans="1:25" ht="20.100000000000001" customHeight="1" x14ac:dyDescent="0.25">
      <c r="A100" s="550"/>
      <c r="B100" s="548"/>
      <c r="C100" s="585" t="s">
        <v>165</v>
      </c>
      <c r="D100" s="586"/>
      <c r="E100" s="194"/>
      <c r="F100" s="194"/>
      <c r="G100" s="191"/>
      <c r="H100" s="597"/>
      <c r="I100" s="598"/>
      <c r="J100" s="598"/>
      <c r="K100" s="598"/>
      <c r="L100" s="598"/>
      <c r="M100" s="598"/>
      <c r="N100" s="598"/>
      <c r="O100" s="598"/>
      <c r="P100" s="598"/>
      <c r="Q100" s="598"/>
      <c r="R100" s="598"/>
      <c r="S100" s="598"/>
      <c r="T100" s="598"/>
      <c r="U100" s="598"/>
      <c r="V100" s="598"/>
      <c r="W100" s="598"/>
      <c r="X100" s="598"/>
      <c r="Y100" s="599"/>
    </row>
    <row r="101" spans="1:25" ht="9.9499999999999993" customHeight="1" x14ac:dyDescent="0.25">
      <c r="A101" s="551"/>
      <c r="B101" s="548"/>
      <c r="C101" s="183"/>
      <c r="D101" s="183"/>
      <c r="E101" s="183"/>
      <c r="F101" s="183"/>
      <c r="G101" s="190"/>
      <c r="H101" s="593"/>
      <c r="I101" s="594"/>
      <c r="J101" s="594"/>
      <c r="K101" s="594"/>
      <c r="L101" s="594"/>
      <c r="M101" s="594"/>
      <c r="N101" s="594"/>
      <c r="O101" s="594"/>
      <c r="P101" s="594"/>
      <c r="Q101" s="594"/>
      <c r="R101" s="594"/>
      <c r="S101" s="594"/>
      <c r="T101" s="594"/>
      <c r="U101" s="594"/>
      <c r="V101" s="594"/>
      <c r="W101" s="594"/>
      <c r="X101" s="594"/>
      <c r="Y101" s="595"/>
    </row>
    <row r="102" spans="1:25" ht="9.9499999999999993" customHeight="1" x14ac:dyDescent="0.25">
      <c r="A102" s="549">
        <f t="shared" si="9"/>
        <v>32</v>
      </c>
      <c r="B102" s="548"/>
      <c r="C102" s="188"/>
      <c r="D102" s="188"/>
      <c r="E102" s="188"/>
      <c r="F102" s="188"/>
      <c r="G102" s="189"/>
      <c r="H102" s="590"/>
      <c r="I102" s="591"/>
      <c r="J102" s="591"/>
      <c r="K102" s="591"/>
      <c r="L102" s="591"/>
      <c r="M102" s="591"/>
      <c r="N102" s="591"/>
      <c r="O102" s="591"/>
      <c r="P102" s="591"/>
      <c r="Q102" s="591"/>
      <c r="R102" s="591"/>
      <c r="S102" s="591"/>
      <c r="T102" s="591"/>
      <c r="U102" s="591"/>
      <c r="V102" s="591"/>
      <c r="W102" s="591"/>
      <c r="X102" s="591"/>
      <c r="Y102" s="592"/>
    </row>
    <row r="103" spans="1:25" ht="20.100000000000001" customHeight="1" x14ac:dyDescent="0.25">
      <c r="A103" s="550"/>
      <c r="B103" s="548"/>
      <c r="C103" s="585" t="s">
        <v>165</v>
      </c>
      <c r="D103" s="586"/>
      <c r="E103" s="194"/>
      <c r="F103" s="194"/>
      <c r="G103" s="191"/>
      <c r="H103" s="597"/>
      <c r="I103" s="598"/>
      <c r="J103" s="598"/>
      <c r="K103" s="598"/>
      <c r="L103" s="598"/>
      <c r="M103" s="598"/>
      <c r="N103" s="598"/>
      <c r="O103" s="598"/>
      <c r="P103" s="598"/>
      <c r="Q103" s="598"/>
      <c r="R103" s="598"/>
      <c r="S103" s="598"/>
      <c r="T103" s="598"/>
      <c r="U103" s="598"/>
      <c r="V103" s="598"/>
      <c r="W103" s="598"/>
      <c r="X103" s="598"/>
      <c r="Y103" s="599"/>
    </row>
    <row r="104" spans="1:25" ht="9.9499999999999993" customHeight="1" x14ac:dyDescent="0.25">
      <c r="A104" s="551"/>
      <c r="B104" s="548"/>
      <c r="C104" s="183"/>
      <c r="D104" s="183"/>
      <c r="E104" s="183"/>
      <c r="F104" s="183"/>
      <c r="G104" s="190"/>
      <c r="H104" s="593"/>
      <c r="I104" s="594"/>
      <c r="J104" s="594"/>
      <c r="K104" s="594"/>
      <c r="L104" s="594"/>
      <c r="M104" s="594"/>
      <c r="N104" s="594"/>
      <c r="O104" s="594"/>
      <c r="P104" s="594"/>
      <c r="Q104" s="594"/>
      <c r="R104" s="594"/>
      <c r="S104" s="594"/>
      <c r="T104" s="594"/>
      <c r="U104" s="594"/>
      <c r="V104" s="594"/>
      <c r="W104" s="594"/>
      <c r="X104" s="594"/>
      <c r="Y104" s="595"/>
    </row>
    <row r="105" spans="1:25" ht="9.9499999999999993" customHeight="1" x14ac:dyDescent="0.25">
      <c r="A105" s="549">
        <f t="shared" si="9"/>
        <v>33</v>
      </c>
      <c r="B105" s="548"/>
      <c r="C105" s="188"/>
      <c r="D105" s="188"/>
      <c r="E105" s="188"/>
      <c r="F105" s="188"/>
      <c r="G105" s="189"/>
      <c r="H105" s="590"/>
      <c r="I105" s="591"/>
      <c r="J105" s="591"/>
      <c r="K105" s="591"/>
      <c r="L105" s="591"/>
      <c r="M105" s="591"/>
      <c r="N105" s="591"/>
      <c r="O105" s="591"/>
      <c r="P105" s="591"/>
      <c r="Q105" s="591"/>
      <c r="R105" s="591"/>
      <c r="S105" s="591"/>
      <c r="T105" s="591"/>
      <c r="U105" s="591"/>
      <c r="V105" s="591"/>
      <c r="W105" s="591"/>
      <c r="X105" s="591"/>
      <c r="Y105" s="592"/>
    </row>
    <row r="106" spans="1:25" ht="20.100000000000001" customHeight="1" x14ac:dyDescent="0.25">
      <c r="A106" s="550"/>
      <c r="B106" s="548"/>
      <c r="C106" s="585" t="s">
        <v>165</v>
      </c>
      <c r="D106" s="586"/>
      <c r="E106" s="194"/>
      <c r="F106" s="194"/>
      <c r="G106" s="191"/>
      <c r="H106" s="597"/>
      <c r="I106" s="598"/>
      <c r="J106" s="598"/>
      <c r="K106" s="598"/>
      <c r="L106" s="598"/>
      <c r="M106" s="598"/>
      <c r="N106" s="598"/>
      <c r="O106" s="598"/>
      <c r="P106" s="598"/>
      <c r="Q106" s="598"/>
      <c r="R106" s="598"/>
      <c r="S106" s="598"/>
      <c r="T106" s="598"/>
      <c r="U106" s="598"/>
      <c r="V106" s="598"/>
      <c r="W106" s="598"/>
      <c r="X106" s="598"/>
      <c r="Y106" s="599"/>
    </row>
    <row r="107" spans="1:25" ht="9.9499999999999993" customHeight="1" x14ac:dyDescent="0.25">
      <c r="A107" s="551"/>
      <c r="B107" s="548"/>
      <c r="C107" s="183"/>
      <c r="D107" s="183"/>
      <c r="E107" s="183"/>
      <c r="F107" s="183"/>
      <c r="G107" s="190"/>
      <c r="H107" s="593"/>
      <c r="I107" s="594"/>
      <c r="J107" s="594"/>
      <c r="K107" s="594"/>
      <c r="L107" s="594"/>
      <c r="M107" s="594"/>
      <c r="N107" s="594"/>
      <c r="O107" s="594"/>
      <c r="P107" s="594"/>
      <c r="Q107" s="594"/>
      <c r="R107" s="594"/>
      <c r="S107" s="594"/>
      <c r="T107" s="594"/>
      <c r="U107" s="594"/>
      <c r="V107" s="594"/>
      <c r="W107" s="594"/>
      <c r="X107" s="594"/>
      <c r="Y107" s="595"/>
    </row>
    <row r="108" spans="1:25" ht="9.9499999999999993" customHeight="1" x14ac:dyDescent="0.25">
      <c r="A108" s="549">
        <f t="shared" si="9"/>
        <v>34</v>
      </c>
      <c r="B108" s="548"/>
      <c r="C108" s="188"/>
      <c r="D108" s="188"/>
      <c r="E108" s="188"/>
      <c r="F108" s="188"/>
      <c r="G108" s="189"/>
      <c r="H108" s="590"/>
      <c r="I108" s="591"/>
      <c r="J108" s="591"/>
      <c r="K108" s="591"/>
      <c r="L108" s="591"/>
      <c r="M108" s="591"/>
      <c r="N108" s="591"/>
      <c r="O108" s="591"/>
      <c r="P108" s="591"/>
      <c r="Q108" s="591"/>
      <c r="R108" s="591"/>
      <c r="S108" s="591"/>
      <c r="T108" s="591"/>
      <c r="U108" s="591"/>
      <c r="V108" s="591"/>
      <c r="W108" s="591"/>
      <c r="X108" s="591"/>
      <c r="Y108" s="592"/>
    </row>
    <row r="109" spans="1:25" ht="20.100000000000001" customHeight="1" x14ac:dyDescent="0.25">
      <c r="A109" s="550"/>
      <c r="B109" s="548"/>
      <c r="C109" s="585" t="s">
        <v>165</v>
      </c>
      <c r="D109" s="586"/>
      <c r="E109" s="194"/>
      <c r="F109" s="194"/>
      <c r="G109" s="191"/>
      <c r="H109" s="597"/>
      <c r="I109" s="598"/>
      <c r="J109" s="598"/>
      <c r="K109" s="598"/>
      <c r="L109" s="598"/>
      <c r="M109" s="598"/>
      <c r="N109" s="598"/>
      <c r="O109" s="598"/>
      <c r="P109" s="598"/>
      <c r="Q109" s="598"/>
      <c r="R109" s="598"/>
      <c r="S109" s="598"/>
      <c r="T109" s="598"/>
      <c r="U109" s="598"/>
      <c r="V109" s="598"/>
      <c r="W109" s="598"/>
      <c r="X109" s="598"/>
      <c r="Y109" s="599"/>
    </row>
    <row r="110" spans="1:25" ht="9.9499999999999993" customHeight="1" x14ac:dyDescent="0.25">
      <c r="A110" s="551"/>
      <c r="B110" s="548"/>
      <c r="C110" s="183"/>
      <c r="D110" s="183"/>
      <c r="E110" s="183"/>
      <c r="F110" s="183"/>
      <c r="G110" s="190"/>
      <c r="H110" s="593"/>
      <c r="I110" s="594"/>
      <c r="J110" s="594"/>
      <c r="K110" s="594"/>
      <c r="L110" s="594"/>
      <c r="M110" s="594"/>
      <c r="N110" s="594"/>
      <c r="O110" s="594"/>
      <c r="P110" s="594"/>
      <c r="Q110" s="594"/>
      <c r="R110" s="594"/>
      <c r="S110" s="594"/>
      <c r="T110" s="594"/>
      <c r="U110" s="594"/>
      <c r="V110" s="594"/>
      <c r="W110" s="594"/>
      <c r="X110" s="594"/>
      <c r="Y110" s="595"/>
    </row>
    <row r="111" spans="1:25" ht="9.9499999999999993" customHeight="1" x14ac:dyDescent="0.25">
      <c r="A111" s="549">
        <f t="shared" si="9"/>
        <v>35</v>
      </c>
      <c r="B111" s="548"/>
      <c r="C111" s="188"/>
      <c r="D111" s="188"/>
      <c r="E111" s="188"/>
      <c r="F111" s="188"/>
      <c r="G111" s="189"/>
      <c r="H111" s="590"/>
      <c r="I111" s="591"/>
      <c r="J111" s="591"/>
      <c r="K111" s="591"/>
      <c r="L111" s="591"/>
      <c r="M111" s="591"/>
      <c r="N111" s="591"/>
      <c r="O111" s="591"/>
      <c r="P111" s="591"/>
      <c r="Q111" s="591"/>
      <c r="R111" s="591"/>
      <c r="S111" s="591"/>
      <c r="T111" s="591"/>
      <c r="U111" s="591"/>
      <c r="V111" s="591"/>
      <c r="W111" s="591"/>
      <c r="X111" s="591"/>
      <c r="Y111" s="592"/>
    </row>
    <row r="112" spans="1:25" ht="20.100000000000001" customHeight="1" x14ac:dyDescent="0.25">
      <c r="A112" s="550"/>
      <c r="B112" s="548"/>
      <c r="C112" s="585" t="s">
        <v>165</v>
      </c>
      <c r="D112" s="586"/>
      <c r="E112" s="194"/>
      <c r="F112" s="194"/>
      <c r="G112" s="191"/>
      <c r="H112" s="597"/>
      <c r="I112" s="598"/>
      <c r="J112" s="598"/>
      <c r="K112" s="598"/>
      <c r="L112" s="598"/>
      <c r="M112" s="598"/>
      <c r="N112" s="598"/>
      <c r="O112" s="598"/>
      <c r="P112" s="598"/>
      <c r="Q112" s="598"/>
      <c r="R112" s="598"/>
      <c r="S112" s="598"/>
      <c r="T112" s="598"/>
      <c r="U112" s="598"/>
      <c r="V112" s="598"/>
      <c r="W112" s="598"/>
      <c r="X112" s="598"/>
      <c r="Y112" s="599"/>
    </row>
    <row r="113" spans="1:25" ht="9.9499999999999993" customHeight="1" x14ac:dyDescent="0.25">
      <c r="A113" s="551"/>
      <c r="B113" s="548"/>
      <c r="C113" s="183"/>
      <c r="D113" s="183"/>
      <c r="E113" s="183"/>
      <c r="F113" s="183"/>
      <c r="G113" s="190"/>
      <c r="H113" s="593"/>
      <c r="I113" s="594"/>
      <c r="J113" s="594"/>
      <c r="K113" s="594"/>
      <c r="L113" s="594"/>
      <c r="M113" s="594"/>
      <c r="N113" s="594"/>
      <c r="O113" s="594"/>
      <c r="P113" s="594"/>
      <c r="Q113" s="594"/>
      <c r="R113" s="594"/>
      <c r="S113" s="594"/>
      <c r="T113" s="594"/>
      <c r="U113" s="594"/>
      <c r="V113" s="594"/>
      <c r="W113" s="594"/>
      <c r="X113" s="594"/>
      <c r="Y113" s="595"/>
    </row>
    <row r="114" spans="1:25" ht="9.9499999999999993" customHeight="1" x14ac:dyDescent="0.25">
      <c r="A114" s="549">
        <f t="shared" si="9"/>
        <v>36</v>
      </c>
      <c r="B114" s="548"/>
      <c r="C114" s="188"/>
      <c r="D114" s="188"/>
      <c r="E114" s="188"/>
      <c r="F114" s="188"/>
      <c r="G114" s="189"/>
      <c r="H114" s="590"/>
      <c r="I114" s="591"/>
      <c r="J114" s="591"/>
      <c r="K114" s="591"/>
      <c r="L114" s="591"/>
      <c r="M114" s="591"/>
      <c r="N114" s="591"/>
      <c r="O114" s="591"/>
      <c r="P114" s="591"/>
      <c r="Q114" s="591"/>
      <c r="R114" s="591"/>
      <c r="S114" s="591"/>
      <c r="T114" s="591"/>
      <c r="U114" s="591"/>
      <c r="V114" s="591"/>
      <c r="W114" s="591"/>
      <c r="X114" s="591"/>
      <c r="Y114" s="592"/>
    </row>
    <row r="115" spans="1:25" ht="20.100000000000001" customHeight="1" x14ac:dyDescent="0.25">
      <c r="A115" s="550"/>
      <c r="B115" s="548"/>
      <c r="C115" s="585" t="s">
        <v>165</v>
      </c>
      <c r="D115" s="586"/>
      <c r="E115" s="194"/>
      <c r="F115" s="194"/>
      <c r="G115" s="191"/>
      <c r="H115" s="597"/>
      <c r="I115" s="598"/>
      <c r="J115" s="598"/>
      <c r="K115" s="598"/>
      <c r="L115" s="598"/>
      <c r="M115" s="598"/>
      <c r="N115" s="598"/>
      <c r="O115" s="598"/>
      <c r="P115" s="598"/>
      <c r="Q115" s="598"/>
      <c r="R115" s="598"/>
      <c r="S115" s="598"/>
      <c r="T115" s="598"/>
      <c r="U115" s="598"/>
      <c r="V115" s="598"/>
      <c r="W115" s="598"/>
      <c r="X115" s="598"/>
      <c r="Y115" s="599"/>
    </row>
    <row r="116" spans="1:25" ht="9.9499999999999993" customHeight="1" x14ac:dyDescent="0.25">
      <c r="A116" s="551"/>
      <c r="B116" s="548"/>
      <c r="C116" s="183"/>
      <c r="D116" s="183"/>
      <c r="E116" s="183"/>
      <c r="F116" s="183"/>
      <c r="G116" s="190"/>
      <c r="H116" s="593"/>
      <c r="I116" s="594"/>
      <c r="J116" s="594"/>
      <c r="K116" s="594"/>
      <c r="L116" s="594"/>
      <c r="M116" s="594"/>
      <c r="N116" s="594"/>
      <c r="O116" s="594"/>
      <c r="P116" s="594"/>
      <c r="Q116" s="594"/>
      <c r="R116" s="594"/>
      <c r="S116" s="594"/>
      <c r="T116" s="594"/>
      <c r="U116" s="594"/>
      <c r="V116" s="594"/>
      <c r="W116" s="594"/>
      <c r="X116" s="594"/>
      <c r="Y116" s="595"/>
    </row>
    <row r="117" spans="1:25" ht="9.9499999999999993" customHeight="1" x14ac:dyDescent="0.25">
      <c r="A117" s="549">
        <f t="shared" si="9"/>
        <v>37</v>
      </c>
      <c r="B117" s="548"/>
      <c r="C117" s="188"/>
      <c r="D117" s="188"/>
      <c r="E117" s="188"/>
      <c r="F117" s="188"/>
      <c r="G117" s="189"/>
      <c r="H117" s="590"/>
      <c r="I117" s="591"/>
      <c r="J117" s="591"/>
      <c r="K117" s="591"/>
      <c r="L117" s="591"/>
      <c r="M117" s="591"/>
      <c r="N117" s="591"/>
      <c r="O117" s="591"/>
      <c r="P117" s="591"/>
      <c r="Q117" s="591"/>
      <c r="R117" s="591"/>
      <c r="S117" s="591"/>
      <c r="T117" s="591"/>
      <c r="U117" s="591"/>
      <c r="V117" s="591"/>
      <c r="W117" s="591"/>
      <c r="X117" s="591"/>
      <c r="Y117" s="592"/>
    </row>
    <row r="118" spans="1:25" ht="20.100000000000001" customHeight="1" x14ac:dyDescent="0.25">
      <c r="A118" s="550"/>
      <c r="B118" s="548"/>
      <c r="C118" s="585" t="s">
        <v>165</v>
      </c>
      <c r="D118" s="586"/>
      <c r="E118" s="194"/>
      <c r="F118" s="194"/>
      <c r="G118" s="191"/>
      <c r="H118" s="597"/>
      <c r="I118" s="598"/>
      <c r="J118" s="598"/>
      <c r="K118" s="598"/>
      <c r="L118" s="598"/>
      <c r="M118" s="598"/>
      <c r="N118" s="598"/>
      <c r="O118" s="598"/>
      <c r="P118" s="598"/>
      <c r="Q118" s="598"/>
      <c r="R118" s="598"/>
      <c r="S118" s="598"/>
      <c r="T118" s="598"/>
      <c r="U118" s="598"/>
      <c r="V118" s="598"/>
      <c r="W118" s="598"/>
      <c r="X118" s="598"/>
      <c r="Y118" s="599"/>
    </row>
    <row r="119" spans="1:25" ht="9.9499999999999993" customHeight="1" x14ac:dyDescent="0.25">
      <c r="A119" s="551"/>
      <c r="B119" s="548"/>
      <c r="C119" s="183"/>
      <c r="D119" s="183"/>
      <c r="E119" s="183"/>
      <c r="F119" s="183"/>
      <c r="G119" s="190"/>
      <c r="H119" s="593"/>
      <c r="I119" s="594"/>
      <c r="J119" s="594"/>
      <c r="K119" s="594"/>
      <c r="L119" s="594"/>
      <c r="M119" s="594"/>
      <c r="N119" s="594"/>
      <c r="O119" s="594"/>
      <c r="P119" s="594"/>
      <c r="Q119" s="594"/>
      <c r="R119" s="594"/>
      <c r="S119" s="594"/>
      <c r="T119" s="594"/>
      <c r="U119" s="594"/>
      <c r="V119" s="594"/>
      <c r="W119" s="594"/>
      <c r="X119" s="594"/>
      <c r="Y119" s="595"/>
    </row>
    <row r="120" spans="1:25" ht="9.9499999999999993" customHeight="1" x14ac:dyDescent="0.25">
      <c r="A120" s="549">
        <f t="shared" si="9"/>
        <v>38</v>
      </c>
      <c r="B120" s="548"/>
      <c r="C120" s="188"/>
      <c r="D120" s="188"/>
      <c r="E120" s="188"/>
      <c r="F120" s="188"/>
      <c r="G120" s="189"/>
      <c r="H120" s="590"/>
      <c r="I120" s="591"/>
      <c r="J120" s="591"/>
      <c r="K120" s="591"/>
      <c r="L120" s="591"/>
      <c r="M120" s="591"/>
      <c r="N120" s="591"/>
      <c r="O120" s="591"/>
      <c r="P120" s="591"/>
      <c r="Q120" s="591"/>
      <c r="R120" s="591"/>
      <c r="S120" s="591"/>
      <c r="T120" s="591"/>
      <c r="U120" s="591"/>
      <c r="V120" s="591"/>
      <c r="W120" s="591"/>
      <c r="X120" s="591"/>
      <c r="Y120" s="592"/>
    </row>
    <row r="121" spans="1:25" ht="20.100000000000001" customHeight="1" x14ac:dyDescent="0.25">
      <c r="A121" s="550"/>
      <c r="B121" s="548"/>
      <c r="C121" s="585" t="s">
        <v>165</v>
      </c>
      <c r="D121" s="586"/>
      <c r="E121" s="194"/>
      <c r="F121" s="194"/>
      <c r="G121" s="191"/>
      <c r="H121" s="597"/>
      <c r="I121" s="598"/>
      <c r="J121" s="598"/>
      <c r="K121" s="598"/>
      <c r="L121" s="598"/>
      <c r="M121" s="598"/>
      <c r="N121" s="598"/>
      <c r="O121" s="598"/>
      <c r="P121" s="598"/>
      <c r="Q121" s="598"/>
      <c r="R121" s="598"/>
      <c r="S121" s="598"/>
      <c r="T121" s="598"/>
      <c r="U121" s="598"/>
      <c r="V121" s="598"/>
      <c r="W121" s="598"/>
      <c r="X121" s="598"/>
      <c r="Y121" s="599"/>
    </row>
    <row r="122" spans="1:25" ht="9.9499999999999993" customHeight="1" x14ac:dyDescent="0.25">
      <c r="A122" s="551"/>
      <c r="B122" s="548"/>
      <c r="C122" s="183"/>
      <c r="D122" s="183"/>
      <c r="E122" s="183"/>
      <c r="F122" s="183"/>
      <c r="G122" s="190"/>
      <c r="H122" s="593"/>
      <c r="I122" s="594"/>
      <c r="J122" s="594"/>
      <c r="K122" s="594"/>
      <c r="L122" s="594"/>
      <c r="M122" s="594"/>
      <c r="N122" s="594"/>
      <c r="O122" s="594"/>
      <c r="P122" s="594"/>
      <c r="Q122" s="594"/>
      <c r="R122" s="594"/>
      <c r="S122" s="594"/>
      <c r="T122" s="594"/>
      <c r="U122" s="594"/>
      <c r="V122" s="594"/>
      <c r="W122" s="594"/>
      <c r="X122" s="594"/>
      <c r="Y122" s="595"/>
    </row>
    <row r="123" spans="1:25" ht="9.9499999999999993" customHeight="1" x14ac:dyDescent="0.25">
      <c r="A123" s="549">
        <f t="shared" si="9"/>
        <v>39</v>
      </c>
      <c r="B123" s="548"/>
      <c r="C123" s="188"/>
      <c r="D123" s="188"/>
      <c r="E123" s="188"/>
      <c r="F123" s="188"/>
      <c r="G123" s="189"/>
      <c r="H123" s="590"/>
      <c r="I123" s="591"/>
      <c r="J123" s="591"/>
      <c r="K123" s="591"/>
      <c r="L123" s="591"/>
      <c r="M123" s="591"/>
      <c r="N123" s="591"/>
      <c r="O123" s="591"/>
      <c r="P123" s="591"/>
      <c r="Q123" s="591"/>
      <c r="R123" s="591"/>
      <c r="S123" s="591"/>
      <c r="T123" s="591"/>
      <c r="U123" s="591"/>
      <c r="V123" s="591"/>
      <c r="W123" s="591"/>
      <c r="X123" s="591"/>
      <c r="Y123" s="592"/>
    </row>
    <row r="124" spans="1:25" ht="20.100000000000001" customHeight="1" x14ac:dyDescent="0.25">
      <c r="A124" s="550"/>
      <c r="B124" s="548"/>
      <c r="C124" s="585" t="s">
        <v>165</v>
      </c>
      <c r="D124" s="586"/>
      <c r="E124" s="194"/>
      <c r="F124" s="194"/>
      <c r="G124" s="191"/>
      <c r="H124" s="597"/>
      <c r="I124" s="598"/>
      <c r="J124" s="598"/>
      <c r="K124" s="598"/>
      <c r="L124" s="598"/>
      <c r="M124" s="598"/>
      <c r="N124" s="598"/>
      <c r="O124" s="598"/>
      <c r="P124" s="598"/>
      <c r="Q124" s="598"/>
      <c r="R124" s="598"/>
      <c r="S124" s="598"/>
      <c r="T124" s="598"/>
      <c r="U124" s="598"/>
      <c r="V124" s="598"/>
      <c r="W124" s="598"/>
      <c r="X124" s="598"/>
      <c r="Y124" s="599"/>
    </row>
    <row r="125" spans="1:25" ht="9.9499999999999993" customHeight="1" x14ac:dyDescent="0.25">
      <c r="A125" s="551"/>
      <c r="B125" s="548"/>
      <c r="C125" s="183"/>
      <c r="D125" s="183"/>
      <c r="E125" s="183"/>
      <c r="F125" s="183"/>
      <c r="G125" s="190"/>
      <c r="H125" s="593"/>
      <c r="I125" s="594"/>
      <c r="J125" s="594"/>
      <c r="K125" s="594"/>
      <c r="L125" s="594"/>
      <c r="M125" s="594"/>
      <c r="N125" s="594"/>
      <c r="O125" s="594"/>
      <c r="P125" s="594"/>
      <c r="Q125" s="594"/>
      <c r="R125" s="594"/>
      <c r="S125" s="594"/>
      <c r="T125" s="594"/>
      <c r="U125" s="594"/>
      <c r="V125" s="594"/>
      <c r="W125" s="594"/>
      <c r="X125" s="594"/>
      <c r="Y125" s="595"/>
    </row>
    <row r="126" spans="1:25" ht="9.9499999999999993" customHeight="1" x14ac:dyDescent="0.25">
      <c r="A126" s="549">
        <f t="shared" si="9"/>
        <v>40</v>
      </c>
      <c r="B126" s="548"/>
      <c r="C126" s="188"/>
      <c r="D126" s="188"/>
      <c r="E126" s="188"/>
      <c r="F126" s="188"/>
      <c r="G126" s="189"/>
      <c r="H126" s="590"/>
      <c r="I126" s="591"/>
      <c r="J126" s="591"/>
      <c r="K126" s="591"/>
      <c r="L126" s="591"/>
      <c r="M126" s="591"/>
      <c r="N126" s="591"/>
      <c r="O126" s="591"/>
      <c r="P126" s="591"/>
      <c r="Q126" s="591"/>
      <c r="R126" s="591"/>
      <c r="S126" s="591"/>
      <c r="T126" s="591"/>
      <c r="U126" s="591"/>
      <c r="V126" s="591"/>
      <c r="W126" s="591"/>
      <c r="X126" s="591"/>
      <c r="Y126" s="592"/>
    </row>
    <row r="127" spans="1:25" ht="20.100000000000001" customHeight="1" x14ac:dyDescent="0.25">
      <c r="A127" s="550"/>
      <c r="B127" s="548"/>
      <c r="C127" s="585" t="s">
        <v>165</v>
      </c>
      <c r="D127" s="586"/>
      <c r="E127" s="194"/>
      <c r="F127" s="194"/>
      <c r="G127" s="191"/>
      <c r="H127" s="597"/>
      <c r="I127" s="598"/>
      <c r="J127" s="598"/>
      <c r="K127" s="598"/>
      <c r="L127" s="598"/>
      <c r="M127" s="598"/>
      <c r="N127" s="598"/>
      <c r="O127" s="598"/>
      <c r="P127" s="598"/>
      <c r="Q127" s="598"/>
      <c r="R127" s="598"/>
      <c r="S127" s="598"/>
      <c r="T127" s="598"/>
      <c r="U127" s="598"/>
      <c r="V127" s="598"/>
      <c r="W127" s="598"/>
      <c r="X127" s="598"/>
      <c r="Y127" s="599"/>
    </row>
    <row r="128" spans="1:25" ht="9.9499999999999993" customHeight="1" x14ac:dyDescent="0.25">
      <c r="A128" s="551"/>
      <c r="B128" s="548"/>
      <c r="C128" s="183"/>
      <c r="D128" s="183"/>
      <c r="E128" s="183"/>
      <c r="F128" s="183"/>
      <c r="G128" s="190"/>
      <c r="H128" s="593"/>
      <c r="I128" s="594"/>
      <c r="J128" s="594"/>
      <c r="K128" s="594"/>
      <c r="L128" s="594"/>
      <c r="M128" s="594"/>
      <c r="N128" s="594"/>
      <c r="O128" s="594"/>
      <c r="P128" s="594"/>
      <c r="Q128" s="594"/>
      <c r="R128" s="594"/>
      <c r="S128" s="594"/>
      <c r="T128" s="594"/>
      <c r="U128" s="594"/>
      <c r="V128" s="594"/>
      <c r="W128" s="594"/>
      <c r="X128" s="594"/>
      <c r="Y128" s="595"/>
    </row>
  </sheetData>
  <mergeCells count="182">
    <mergeCell ref="A1:O1"/>
    <mergeCell ref="Q1:Y2"/>
    <mergeCell ref="A2:O2"/>
    <mergeCell ref="A4:B4"/>
    <mergeCell ref="C4:K4"/>
    <mergeCell ref="M4:P4"/>
    <mergeCell ref="Q4:R4"/>
    <mergeCell ref="S4:T4"/>
    <mergeCell ref="U4:V4"/>
    <mergeCell ref="W4:Y4"/>
    <mergeCell ref="W5:Y5"/>
    <mergeCell ref="A7:A8"/>
    <mergeCell ref="B7:B8"/>
    <mergeCell ref="C7:G7"/>
    <mergeCell ref="C8:G8"/>
    <mergeCell ref="H7:Y8"/>
    <mergeCell ref="A5:B5"/>
    <mergeCell ref="C5:K5"/>
    <mergeCell ref="M5:P5"/>
    <mergeCell ref="Q5:R5"/>
    <mergeCell ref="S5:T5"/>
    <mergeCell ref="U5:V5"/>
    <mergeCell ref="A15:A17"/>
    <mergeCell ref="B15:B17"/>
    <mergeCell ref="C16:D16"/>
    <mergeCell ref="A18:A20"/>
    <mergeCell ref="B18:B20"/>
    <mergeCell ref="C19:D19"/>
    <mergeCell ref="A9:A11"/>
    <mergeCell ref="B9:B11"/>
    <mergeCell ref="C10:D10"/>
    <mergeCell ref="A12:A14"/>
    <mergeCell ref="B12:B14"/>
    <mergeCell ref="C13:D13"/>
    <mergeCell ref="A27:A29"/>
    <mergeCell ref="B27:B29"/>
    <mergeCell ref="C28:D28"/>
    <mergeCell ref="A30:A32"/>
    <mergeCell ref="B30:B32"/>
    <mergeCell ref="C31:D31"/>
    <mergeCell ref="A21:A23"/>
    <mergeCell ref="B21:B23"/>
    <mergeCell ref="C22:D22"/>
    <mergeCell ref="A24:A26"/>
    <mergeCell ref="B24:B26"/>
    <mergeCell ref="C25:D25"/>
    <mergeCell ref="A39:A41"/>
    <mergeCell ref="B39:B41"/>
    <mergeCell ref="C40:D40"/>
    <mergeCell ref="A42:A44"/>
    <mergeCell ref="B42:B44"/>
    <mergeCell ref="C43:D43"/>
    <mergeCell ref="A33:A35"/>
    <mergeCell ref="B33:B35"/>
    <mergeCell ref="C34:D34"/>
    <mergeCell ref="A36:A38"/>
    <mergeCell ref="B36:B38"/>
    <mergeCell ref="C37:D37"/>
    <mergeCell ref="A51:A53"/>
    <mergeCell ref="B51:B53"/>
    <mergeCell ref="C52:D52"/>
    <mergeCell ref="A54:A56"/>
    <mergeCell ref="B54:B56"/>
    <mergeCell ref="C55:D55"/>
    <mergeCell ref="A45:A47"/>
    <mergeCell ref="B45:B47"/>
    <mergeCell ref="C46:D46"/>
    <mergeCell ref="A48:A50"/>
    <mergeCell ref="B48:B50"/>
    <mergeCell ref="C49:D49"/>
    <mergeCell ref="A63:A65"/>
    <mergeCell ref="B63:B65"/>
    <mergeCell ref="C64:D64"/>
    <mergeCell ref="A66:A68"/>
    <mergeCell ref="B66:B68"/>
    <mergeCell ref="C67:D67"/>
    <mergeCell ref="A57:A59"/>
    <mergeCell ref="B57:B59"/>
    <mergeCell ref="C58:D58"/>
    <mergeCell ref="A60:A62"/>
    <mergeCell ref="B60:B62"/>
    <mergeCell ref="C61:D61"/>
    <mergeCell ref="A75:A77"/>
    <mergeCell ref="B75:B77"/>
    <mergeCell ref="C76:D76"/>
    <mergeCell ref="A78:A80"/>
    <mergeCell ref="B78:B80"/>
    <mergeCell ref="C79:D79"/>
    <mergeCell ref="A69:A71"/>
    <mergeCell ref="B69:B71"/>
    <mergeCell ref="C70:D70"/>
    <mergeCell ref="A72:A74"/>
    <mergeCell ref="B72:B74"/>
    <mergeCell ref="C73:D73"/>
    <mergeCell ref="A87:A89"/>
    <mergeCell ref="B87:B89"/>
    <mergeCell ref="C88:D88"/>
    <mergeCell ref="A90:A92"/>
    <mergeCell ref="B90:B92"/>
    <mergeCell ref="C91:D91"/>
    <mergeCell ref="A81:A83"/>
    <mergeCell ref="B81:B83"/>
    <mergeCell ref="C82:D82"/>
    <mergeCell ref="A84:A86"/>
    <mergeCell ref="B84:B86"/>
    <mergeCell ref="C85:D85"/>
    <mergeCell ref="A102:A104"/>
    <mergeCell ref="B102:B104"/>
    <mergeCell ref="C103:D103"/>
    <mergeCell ref="A93:A95"/>
    <mergeCell ref="B93:B95"/>
    <mergeCell ref="C94:D94"/>
    <mergeCell ref="A96:A98"/>
    <mergeCell ref="B96:B98"/>
    <mergeCell ref="C97:D97"/>
    <mergeCell ref="A126:A128"/>
    <mergeCell ref="B126:B128"/>
    <mergeCell ref="C127:D127"/>
    <mergeCell ref="A117:A119"/>
    <mergeCell ref="B117:B119"/>
    <mergeCell ref="C118:D118"/>
    <mergeCell ref="A120:A122"/>
    <mergeCell ref="B120:B122"/>
    <mergeCell ref="C121:D121"/>
    <mergeCell ref="H9:Y11"/>
    <mergeCell ref="H12:Y14"/>
    <mergeCell ref="H15:Y17"/>
    <mergeCell ref="H18:Y20"/>
    <mergeCell ref="H21:Y23"/>
    <mergeCell ref="H24:Y26"/>
    <mergeCell ref="A123:A125"/>
    <mergeCell ref="B123:B125"/>
    <mergeCell ref="C124:D124"/>
    <mergeCell ref="A111:A113"/>
    <mergeCell ref="B111:B113"/>
    <mergeCell ref="C112:D112"/>
    <mergeCell ref="A114:A116"/>
    <mergeCell ref="B114:B116"/>
    <mergeCell ref="C115:D115"/>
    <mergeCell ref="A105:A107"/>
    <mergeCell ref="B105:B107"/>
    <mergeCell ref="C106:D106"/>
    <mergeCell ref="A108:A110"/>
    <mergeCell ref="B108:B110"/>
    <mergeCell ref="C109:D109"/>
    <mergeCell ref="A99:A101"/>
    <mergeCell ref="B99:B101"/>
    <mergeCell ref="C100:D100"/>
    <mergeCell ref="H45:Y47"/>
    <mergeCell ref="H48:Y50"/>
    <mergeCell ref="H51:Y53"/>
    <mergeCell ref="H54:Y56"/>
    <mergeCell ref="H57:Y59"/>
    <mergeCell ref="H60:Y62"/>
    <mergeCell ref="H27:Y29"/>
    <mergeCell ref="H30:Y32"/>
    <mergeCell ref="H33:Y35"/>
    <mergeCell ref="H36:Y38"/>
    <mergeCell ref="H39:Y41"/>
    <mergeCell ref="H42:Y44"/>
    <mergeCell ref="H81:Y83"/>
    <mergeCell ref="H84:Y86"/>
    <mergeCell ref="H87:Y89"/>
    <mergeCell ref="H90:Y92"/>
    <mergeCell ref="H93:Y95"/>
    <mergeCell ref="H96:Y98"/>
    <mergeCell ref="H63:Y65"/>
    <mergeCell ref="H66:Y68"/>
    <mergeCell ref="H69:Y71"/>
    <mergeCell ref="H72:Y74"/>
    <mergeCell ref="H75:Y77"/>
    <mergeCell ref="H78:Y80"/>
    <mergeCell ref="H117:Y119"/>
    <mergeCell ref="H120:Y122"/>
    <mergeCell ref="H123:Y125"/>
    <mergeCell ref="H126:Y128"/>
    <mergeCell ref="H99:Y101"/>
    <mergeCell ref="H102:Y104"/>
    <mergeCell ref="H105:Y107"/>
    <mergeCell ref="H108:Y110"/>
    <mergeCell ref="H111:Y113"/>
    <mergeCell ref="H114:Y116"/>
  </mergeCells>
  <pageMargins left="0.39370078740157483" right="0.39370078740157483" top="0.39370078740157483" bottom="0.78740157480314965" header="0" footer="0.39370078740157483"/>
  <pageSetup paperSize="9" orientation="landscape" horizontalDpi="300" r:id="rId1"/>
  <headerFooter>
    <oddFooter>Страница  &amp;P из &amp;N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28"/>
  <sheetViews>
    <sheetView view="pageBreakPreview" zoomScaleSheetLayoutView="100" workbookViewId="0">
      <selection sqref="A1:O1"/>
    </sheetView>
  </sheetViews>
  <sheetFormatPr defaultColWidth="9.140625" defaultRowHeight="15" x14ac:dyDescent="0.25"/>
  <cols>
    <col min="1" max="1" width="5.7109375" style="14" customWidth="1"/>
    <col min="2" max="2" width="10.7109375" style="14" customWidth="1"/>
    <col min="3" max="3" width="15.7109375" style="14" customWidth="1"/>
    <col min="4" max="4" width="0.85546875" style="14" customWidth="1"/>
    <col min="5" max="6" width="3.28515625" style="14" customWidth="1"/>
    <col min="7" max="7" width="0.85546875" style="14" customWidth="1"/>
    <col min="8" max="8" width="15.7109375" style="14" customWidth="1"/>
    <col min="9" max="9" width="0.85546875" style="14" customWidth="1"/>
    <col min="10" max="11" width="3.28515625" style="14" customWidth="1"/>
    <col min="12" max="12" width="0.85546875" style="14" customWidth="1"/>
    <col min="13" max="25" width="5.7109375" style="14" customWidth="1"/>
    <col min="26" max="16384" width="9.140625" style="14"/>
  </cols>
  <sheetData>
    <row r="1" spans="1:28" ht="21" customHeight="1" x14ac:dyDescent="0.25">
      <c r="A1" s="566" t="str">
        <f>НазваниеПолное</f>
        <v>Ралли "Skoda Rally Weekend - 2017"</v>
      </c>
      <c r="B1" s="567"/>
      <c r="C1" s="567"/>
      <c r="D1" s="567"/>
      <c r="E1" s="567"/>
      <c r="F1" s="567"/>
      <c r="G1" s="567"/>
      <c r="H1" s="567"/>
      <c r="I1" s="567"/>
      <c r="J1" s="567"/>
      <c r="K1" s="567"/>
      <c r="L1" s="567"/>
      <c r="M1" s="567"/>
      <c r="N1" s="567"/>
      <c r="O1" s="568"/>
      <c r="P1" s="193"/>
      <c r="Q1" s="569" t="str">
        <f ca="1">INDIRECT(ADDRESS($AB$1,1,,,"Общее"))</f>
        <v>ДС-1 РД Финиш</v>
      </c>
      <c r="R1" s="569"/>
      <c r="S1" s="569"/>
      <c r="T1" s="569"/>
      <c r="U1" s="569"/>
      <c r="V1" s="569"/>
      <c r="W1" s="569"/>
      <c r="X1" s="569"/>
      <c r="Y1" s="569"/>
      <c r="AA1" s="14" t="s">
        <v>153</v>
      </c>
      <c r="AB1" s="14">
        <v>15</v>
      </c>
    </row>
    <row r="2" spans="1:28" ht="21" customHeight="1" x14ac:dyDescent="0.25">
      <c r="A2" s="570" t="s">
        <v>11</v>
      </c>
      <c r="B2" s="571"/>
      <c r="C2" s="571"/>
      <c r="D2" s="571"/>
      <c r="E2" s="571"/>
      <c r="F2" s="571"/>
      <c r="G2" s="571"/>
      <c r="H2" s="571"/>
      <c r="I2" s="571"/>
      <c r="J2" s="571"/>
      <c r="K2" s="571"/>
      <c r="L2" s="571"/>
      <c r="M2" s="571"/>
      <c r="N2" s="571"/>
      <c r="O2" s="572"/>
      <c r="P2" s="192"/>
      <c r="Q2" s="569"/>
      <c r="R2" s="569"/>
      <c r="S2" s="569"/>
      <c r="T2" s="569"/>
      <c r="U2" s="569"/>
      <c r="V2" s="569"/>
      <c r="W2" s="569"/>
      <c r="X2" s="569"/>
      <c r="Y2" s="569"/>
    </row>
    <row r="3" spans="1:28" ht="2.1" customHeight="1" x14ac:dyDescent="0.25">
      <c r="A3" s="18"/>
      <c r="B3" s="18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2"/>
      <c r="N3" s="182"/>
      <c r="O3" s="182"/>
      <c r="P3" s="182"/>
    </row>
    <row r="4" spans="1:28" ht="20.100000000000001" customHeight="1" x14ac:dyDescent="0.25">
      <c r="A4" s="548" t="s">
        <v>12</v>
      </c>
      <c r="B4" s="548"/>
      <c r="C4" s="573" t="str">
        <f ca="1">INDIRECT(ADDRESS($AB$1,12,,,"Общее"))</f>
        <v>Васильев+Хасанова</v>
      </c>
      <c r="D4" s="573"/>
      <c r="E4" s="573"/>
      <c r="F4" s="573"/>
      <c r="G4" s="573"/>
      <c r="H4" s="573"/>
      <c r="I4" s="573"/>
      <c r="J4" s="573"/>
      <c r="K4" s="573"/>
      <c r="M4" s="548" t="s">
        <v>268</v>
      </c>
      <c r="N4" s="548"/>
      <c r="O4" s="548"/>
      <c r="P4" s="548"/>
      <c r="Q4" s="548" t="s">
        <v>136</v>
      </c>
      <c r="R4" s="548"/>
      <c r="S4" s="554">
        <f ca="1">INDIRECT(ADDRESS($AB$1,9,,,"Общее"))</f>
        <v>0.51247001208556964</v>
      </c>
      <c r="T4" s="554"/>
      <c r="U4" s="548" t="s">
        <v>135</v>
      </c>
      <c r="V4" s="548"/>
      <c r="W4" s="552" t="s">
        <v>164</v>
      </c>
      <c r="X4" s="552"/>
      <c r="Y4" s="552"/>
    </row>
    <row r="5" spans="1:28" ht="20.100000000000001" customHeight="1" x14ac:dyDescent="0.25">
      <c r="A5" s="548" t="s">
        <v>13</v>
      </c>
      <c r="B5" s="548"/>
      <c r="C5" s="548"/>
      <c r="D5" s="548"/>
      <c r="E5" s="548"/>
      <c r="F5" s="548"/>
      <c r="G5" s="548"/>
      <c r="H5" s="548"/>
      <c r="I5" s="548"/>
      <c r="J5" s="548"/>
      <c r="K5" s="548"/>
      <c r="M5" s="548" t="s">
        <v>269</v>
      </c>
      <c r="N5" s="548"/>
      <c r="O5" s="548"/>
      <c r="P5" s="548"/>
      <c r="Q5" s="548" t="s">
        <v>136</v>
      </c>
      <c r="R5" s="548"/>
      <c r="S5" s="554">
        <f ca="1">INDIRECT(ADDRESS($AB$1,11,,,"Общее"))</f>
        <v>0.57269398766700919</v>
      </c>
      <c r="T5" s="554"/>
      <c r="U5" s="548" t="s">
        <v>135</v>
      </c>
      <c r="V5" s="548"/>
      <c r="W5" s="552" t="s">
        <v>164</v>
      </c>
      <c r="X5" s="552"/>
      <c r="Y5" s="552"/>
    </row>
    <row r="6" spans="1:28" ht="2.1" customHeight="1" x14ac:dyDescent="0.25">
      <c r="A6" s="180"/>
      <c r="B6" s="180"/>
      <c r="C6" s="60"/>
      <c r="D6" s="60"/>
      <c r="E6" s="180"/>
      <c r="F6" s="180"/>
      <c r="G6" s="180"/>
      <c r="H6" s="60"/>
      <c r="I6" s="60"/>
      <c r="J6" s="180"/>
      <c r="K6" s="180"/>
      <c r="L6" s="180"/>
      <c r="M6" s="179"/>
      <c r="N6" s="179"/>
      <c r="O6" s="179"/>
      <c r="P6" s="179"/>
    </row>
    <row r="7" spans="1:28" ht="20.100000000000001" customHeight="1" x14ac:dyDescent="0.25">
      <c r="A7" s="553"/>
      <c r="B7" s="548" t="s">
        <v>0</v>
      </c>
      <c r="C7" s="587" t="s">
        <v>38</v>
      </c>
      <c r="D7" s="588"/>
      <c r="E7" s="588"/>
      <c r="F7" s="588"/>
      <c r="G7" s="589"/>
      <c r="H7" s="590" t="s">
        <v>80</v>
      </c>
      <c r="I7" s="591"/>
      <c r="J7" s="591"/>
      <c r="K7" s="591"/>
      <c r="L7" s="591"/>
      <c r="M7" s="591"/>
      <c r="N7" s="591"/>
      <c r="O7" s="591"/>
      <c r="P7" s="591"/>
      <c r="Q7" s="591"/>
      <c r="R7" s="591"/>
      <c r="S7" s="591"/>
      <c r="T7" s="591"/>
      <c r="U7" s="591"/>
      <c r="V7" s="591"/>
      <c r="W7" s="591"/>
      <c r="X7" s="591"/>
      <c r="Y7" s="592"/>
      <c r="AA7" s="14" t="s">
        <v>265</v>
      </c>
    </row>
    <row r="8" spans="1:28" ht="20.100000000000001" customHeight="1" x14ac:dyDescent="0.25">
      <c r="A8" s="553"/>
      <c r="B8" s="548"/>
      <c r="C8" s="587" t="s">
        <v>270</v>
      </c>
      <c r="D8" s="588"/>
      <c r="E8" s="588"/>
      <c r="F8" s="588"/>
      <c r="G8" s="589"/>
      <c r="H8" s="593"/>
      <c r="I8" s="594"/>
      <c r="J8" s="594"/>
      <c r="K8" s="594"/>
      <c r="L8" s="594"/>
      <c r="M8" s="594"/>
      <c r="N8" s="594"/>
      <c r="O8" s="594"/>
      <c r="P8" s="594"/>
      <c r="Q8" s="594"/>
      <c r="R8" s="594"/>
      <c r="S8" s="594"/>
      <c r="T8" s="594"/>
      <c r="U8" s="594"/>
      <c r="V8" s="594"/>
      <c r="W8" s="594"/>
      <c r="X8" s="594"/>
      <c r="Y8" s="595"/>
      <c r="AA8" s="14" t="s">
        <v>266</v>
      </c>
    </row>
    <row r="9" spans="1:28" ht="9.9499999999999993" customHeight="1" x14ac:dyDescent="0.25">
      <c r="A9" s="549">
        <v>1</v>
      </c>
      <c r="B9" s="548"/>
      <c r="C9" s="188"/>
      <c r="D9" s="188"/>
      <c r="E9" s="188"/>
      <c r="F9" s="188"/>
      <c r="G9" s="189"/>
      <c r="H9" s="590"/>
      <c r="I9" s="591"/>
      <c r="J9" s="591"/>
      <c r="K9" s="591"/>
      <c r="L9" s="591"/>
      <c r="M9" s="591"/>
      <c r="N9" s="591"/>
      <c r="O9" s="591"/>
      <c r="P9" s="591"/>
      <c r="Q9" s="591"/>
      <c r="R9" s="591"/>
      <c r="S9" s="591"/>
      <c r="T9" s="591"/>
      <c r="U9" s="591"/>
      <c r="V9" s="591"/>
      <c r="W9" s="591"/>
      <c r="X9" s="591"/>
      <c r="Y9" s="592"/>
    </row>
    <row r="10" spans="1:28" ht="20.100000000000001" customHeight="1" x14ac:dyDescent="0.25">
      <c r="A10" s="550"/>
      <c r="B10" s="548"/>
      <c r="C10" s="585" t="s">
        <v>165</v>
      </c>
      <c r="D10" s="586"/>
      <c r="E10" s="194"/>
      <c r="F10" s="194"/>
      <c r="G10" s="191"/>
      <c r="H10" s="597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  <c r="U10" s="598"/>
      <c r="V10" s="598"/>
      <c r="W10" s="598"/>
      <c r="X10" s="598"/>
      <c r="Y10" s="599"/>
    </row>
    <row r="11" spans="1:28" ht="9.9499999999999993" customHeight="1" x14ac:dyDescent="0.25">
      <c r="A11" s="551"/>
      <c r="B11" s="548"/>
      <c r="C11" s="183"/>
      <c r="D11" s="183"/>
      <c r="E11" s="183"/>
      <c r="F11" s="183"/>
      <c r="G11" s="190"/>
      <c r="H11" s="593"/>
      <c r="I11" s="594"/>
      <c r="J11" s="594"/>
      <c r="K11" s="594"/>
      <c r="L11" s="594"/>
      <c r="M11" s="594"/>
      <c r="N11" s="594"/>
      <c r="O11" s="594"/>
      <c r="P11" s="594"/>
      <c r="Q11" s="594"/>
      <c r="R11" s="594"/>
      <c r="S11" s="594"/>
      <c r="T11" s="594"/>
      <c r="U11" s="594"/>
      <c r="V11" s="594"/>
      <c r="W11" s="594"/>
      <c r="X11" s="594"/>
      <c r="Y11" s="595"/>
    </row>
    <row r="12" spans="1:28" ht="9.9499999999999993" customHeight="1" x14ac:dyDescent="0.25">
      <c r="A12" s="549">
        <f>1+A9</f>
        <v>2</v>
      </c>
      <c r="B12" s="548"/>
      <c r="C12" s="188"/>
      <c r="D12" s="188"/>
      <c r="E12" s="188"/>
      <c r="F12" s="188"/>
      <c r="G12" s="189"/>
      <c r="H12" s="590"/>
      <c r="I12" s="591"/>
      <c r="J12" s="591"/>
      <c r="K12" s="591"/>
      <c r="L12" s="591"/>
      <c r="M12" s="591"/>
      <c r="N12" s="591"/>
      <c r="O12" s="591"/>
      <c r="P12" s="591"/>
      <c r="Q12" s="591"/>
      <c r="R12" s="591"/>
      <c r="S12" s="591"/>
      <c r="T12" s="591"/>
      <c r="U12" s="591"/>
      <c r="V12" s="591"/>
      <c r="W12" s="591"/>
      <c r="X12" s="591"/>
      <c r="Y12" s="592"/>
    </row>
    <row r="13" spans="1:28" ht="20.100000000000001" customHeight="1" x14ac:dyDescent="0.25">
      <c r="A13" s="550"/>
      <c r="B13" s="548"/>
      <c r="C13" s="585" t="s">
        <v>165</v>
      </c>
      <c r="D13" s="586"/>
      <c r="E13" s="194"/>
      <c r="F13" s="194"/>
      <c r="G13" s="191"/>
      <c r="H13" s="597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  <c r="U13" s="598"/>
      <c r="V13" s="598"/>
      <c r="W13" s="598"/>
      <c r="X13" s="598"/>
      <c r="Y13" s="599"/>
    </row>
    <row r="14" spans="1:28" ht="9.9499999999999993" customHeight="1" x14ac:dyDescent="0.25">
      <c r="A14" s="551"/>
      <c r="B14" s="548"/>
      <c r="C14" s="183"/>
      <c r="D14" s="183"/>
      <c r="E14" s="183"/>
      <c r="F14" s="183"/>
      <c r="G14" s="190"/>
      <c r="H14" s="593"/>
      <c r="I14" s="594"/>
      <c r="J14" s="594"/>
      <c r="K14" s="594"/>
      <c r="L14" s="594"/>
      <c r="M14" s="594"/>
      <c r="N14" s="594"/>
      <c r="O14" s="594"/>
      <c r="P14" s="594"/>
      <c r="Q14" s="594"/>
      <c r="R14" s="594"/>
      <c r="S14" s="594"/>
      <c r="T14" s="594"/>
      <c r="U14" s="594"/>
      <c r="V14" s="594"/>
      <c r="W14" s="594"/>
      <c r="X14" s="594"/>
      <c r="Y14" s="595"/>
    </row>
    <row r="15" spans="1:28" ht="9.9499999999999993" customHeight="1" x14ac:dyDescent="0.25">
      <c r="A15" s="549">
        <f>1+A12</f>
        <v>3</v>
      </c>
      <c r="B15" s="548"/>
      <c r="C15" s="188"/>
      <c r="D15" s="188"/>
      <c r="E15" s="188"/>
      <c r="F15" s="188"/>
      <c r="G15" s="189"/>
      <c r="H15" s="590"/>
      <c r="I15" s="591"/>
      <c r="J15" s="591"/>
      <c r="K15" s="591"/>
      <c r="L15" s="591"/>
      <c r="M15" s="591"/>
      <c r="N15" s="591"/>
      <c r="O15" s="591"/>
      <c r="P15" s="591"/>
      <c r="Q15" s="591"/>
      <c r="R15" s="591"/>
      <c r="S15" s="591"/>
      <c r="T15" s="591"/>
      <c r="U15" s="591"/>
      <c r="V15" s="591"/>
      <c r="W15" s="591"/>
      <c r="X15" s="591"/>
      <c r="Y15" s="592"/>
    </row>
    <row r="16" spans="1:28" ht="20.100000000000001" customHeight="1" x14ac:dyDescent="0.25">
      <c r="A16" s="550"/>
      <c r="B16" s="548"/>
      <c r="C16" s="585" t="s">
        <v>165</v>
      </c>
      <c r="D16" s="586"/>
      <c r="E16" s="194"/>
      <c r="F16" s="194"/>
      <c r="G16" s="191"/>
      <c r="H16" s="597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  <c r="U16" s="598"/>
      <c r="V16" s="598"/>
      <c r="W16" s="598"/>
      <c r="X16" s="598"/>
      <c r="Y16" s="599"/>
    </row>
    <row r="17" spans="1:25" ht="9.9499999999999993" customHeight="1" x14ac:dyDescent="0.25">
      <c r="A17" s="551"/>
      <c r="B17" s="548"/>
      <c r="C17" s="183"/>
      <c r="D17" s="183"/>
      <c r="E17" s="183"/>
      <c r="F17" s="183"/>
      <c r="G17" s="190"/>
      <c r="H17" s="593"/>
      <c r="I17" s="594"/>
      <c r="J17" s="594"/>
      <c r="K17" s="594"/>
      <c r="L17" s="594"/>
      <c r="M17" s="594"/>
      <c r="N17" s="594"/>
      <c r="O17" s="594"/>
      <c r="P17" s="594"/>
      <c r="Q17" s="594"/>
      <c r="R17" s="594"/>
      <c r="S17" s="594"/>
      <c r="T17" s="594"/>
      <c r="U17" s="594"/>
      <c r="V17" s="594"/>
      <c r="W17" s="594"/>
      <c r="X17" s="594"/>
      <c r="Y17" s="595"/>
    </row>
    <row r="18" spans="1:25" ht="9.9499999999999993" customHeight="1" x14ac:dyDescent="0.25">
      <c r="A18" s="549">
        <f t="shared" ref="A18" si="0">1+A15</f>
        <v>4</v>
      </c>
      <c r="B18" s="548"/>
      <c r="C18" s="188"/>
      <c r="D18" s="188"/>
      <c r="E18" s="188"/>
      <c r="F18" s="188"/>
      <c r="G18" s="189"/>
      <c r="H18" s="590"/>
      <c r="I18" s="591"/>
      <c r="J18" s="591"/>
      <c r="K18" s="591"/>
      <c r="L18" s="591"/>
      <c r="M18" s="591"/>
      <c r="N18" s="591"/>
      <c r="O18" s="591"/>
      <c r="P18" s="591"/>
      <c r="Q18" s="591"/>
      <c r="R18" s="591"/>
      <c r="S18" s="591"/>
      <c r="T18" s="591"/>
      <c r="U18" s="591"/>
      <c r="V18" s="591"/>
      <c r="W18" s="591"/>
      <c r="X18" s="591"/>
      <c r="Y18" s="592"/>
    </row>
    <row r="19" spans="1:25" ht="20.100000000000001" customHeight="1" x14ac:dyDescent="0.25">
      <c r="A19" s="550"/>
      <c r="B19" s="548"/>
      <c r="C19" s="585" t="s">
        <v>165</v>
      </c>
      <c r="D19" s="586"/>
      <c r="E19" s="194"/>
      <c r="F19" s="194"/>
      <c r="G19" s="191"/>
      <c r="H19" s="597"/>
      <c r="I19" s="598"/>
      <c r="J19" s="598"/>
      <c r="K19" s="598"/>
      <c r="L19" s="598"/>
      <c r="M19" s="598"/>
      <c r="N19" s="598"/>
      <c r="O19" s="598"/>
      <c r="P19" s="598"/>
      <c r="Q19" s="598"/>
      <c r="R19" s="598"/>
      <c r="S19" s="598"/>
      <c r="T19" s="598"/>
      <c r="U19" s="598"/>
      <c r="V19" s="598"/>
      <c r="W19" s="598"/>
      <c r="X19" s="598"/>
      <c r="Y19" s="599"/>
    </row>
    <row r="20" spans="1:25" ht="9.9499999999999993" customHeight="1" x14ac:dyDescent="0.25">
      <c r="A20" s="551"/>
      <c r="B20" s="548"/>
      <c r="C20" s="183"/>
      <c r="D20" s="183"/>
      <c r="E20" s="183"/>
      <c r="F20" s="183"/>
      <c r="G20" s="190"/>
      <c r="H20" s="593"/>
      <c r="I20" s="594"/>
      <c r="J20" s="594"/>
      <c r="K20" s="594"/>
      <c r="L20" s="594"/>
      <c r="M20" s="594"/>
      <c r="N20" s="594"/>
      <c r="O20" s="594"/>
      <c r="P20" s="594"/>
      <c r="Q20" s="594"/>
      <c r="R20" s="594"/>
      <c r="S20" s="594"/>
      <c r="T20" s="594"/>
      <c r="U20" s="594"/>
      <c r="V20" s="594"/>
      <c r="W20" s="594"/>
      <c r="X20" s="594"/>
      <c r="Y20" s="595"/>
    </row>
    <row r="21" spans="1:25" ht="9.9499999999999993" customHeight="1" x14ac:dyDescent="0.25">
      <c r="A21" s="549">
        <f t="shared" ref="A21" si="1">1+A18</f>
        <v>5</v>
      </c>
      <c r="B21" s="548"/>
      <c r="C21" s="188"/>
      <c r="D21" s="188"/>
      <c r="E21" s="188"/>
      <c r="F21" s="188"/>
      <c r="G21" s="189"/>
      <c r="H21" s="590"/>
      <c r="I21" s="591"/>
      <c r="J21" s="591"/>
      <c r="K21" s="591"/>
      <c r="L21" s="591"/>
      <c r="M21" s="591"/>
      <c r="N21" s="591"/>
      <c r="O21" s="591"/>
      <c r="P21" s="591"/>
      <c r="Q21" s="591"/>
      <c r="R21" s="591"/>
      <c r="S21" s="591"/>
      <c r="T21" s="591"/>
      <c r="U21" s="591"/>
      <c r="V21" s="591"/>
      <c r="W21" s="591"/>
      <c r="X21" s="591"/>
      <c r="Y21" s="592"/>
    </row>
    <row r="22" spans="1:25" ht="20.100000000000001" customHeight="1" x14ac:dyDescent="0.25">
      <c r="A22" s="550"/>
      <c r="B22" s="548"/>
      <c r="C22" s="585" t="s">
        <v>165</v>
      </c>
      <c r="D22" s="586"/>
      <c r="E22" s="194"/>
      <c r="F22" s="194"/>
      <c r="G22" s="191"/>
      <c r="H22" s="597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  <c r="U22" s="598"/>
      <c r="V22" s="598"/>
      <c r="W22" s="598"/>
      <c r="X22" s="598"/>
      <c r="Y22" s="599"/>
    </row>
    <row r="23" spans="1:25" ht="9.9499999999999993" customHeight="1" x14ac:dyDescent="0.25">
      <c r="A23" s="551"/>
      <c r="B23" s="548"/>
      <c r="C23" s="183"/>
      <c r="D23" s="183"/>
      <c r="E23" s="183"/>
      <c r="F23" s="183"/>
      <c r="G23" s="190"/>
      <c r="H23" s="593"/>
      <c r="I23" s="594"/>
      <c r="J23" s="594"/>
      <c r="K23" s="594"/>
      <c r="L23" s="594"/>
      <c r="M23" s="594"/>
      <c r="N23" s="594"/>
      <c r="O23" s="594"/>
      <c r="P23" s="594"/>
      <c r="Q23" s="594"/>
      <c r="R23" s="594"/>
      <c r="S23" s="594"/>
      <c r="T23" s="594"/>
      <c r="U23" s="594"/>
      <c r="V23" s="594"/>
      <c r="W23" s="594"/>
      <c r="X23" s="594"/>
      <c r="Y23" s="595"/>
    </row>
    <row r="24" spans="1:25" ht="9.9499999999999993" customHeight="1" x14ac:dyDescent="0.25">
      <c r="A24" s="549">
        <f t="shared" ref="A24" si="2">1+A21</f>
        <v>6</v>
      </c>
      <c r="B24" s="548"/>
      <c r="C24" s="188"/>
      <c r="D24" s="188"/>
      <c r="E24" s="188"/>
      <c r="F24" s="188"/>
      <c r="G24" s="189"/>
      <c r="H24" s="590"/>
      <c r="I24" s="591"/>
      <c r="J24" s="591"/>
      <c r="K24" s="591"/>
      <c r="L24" s="591"/>
      <c r="M24" s="591"/>
      <c r="N24" s="591"/>
      <c r="O24" s="591"/>
      <c r="P24" s="591"/>
      <c r="Q24" s="591"/>
      <c r="R24" s="591"/>
      <c r="S24" s="591"/>
      <c r="T24" s="591"/>
      <c r="U24" s="591"/>
      <c r="V24" s="591"/>
      <c r="W24" s="591"/>
      <c r="X24" s="591"/>
      <c r="Y24" s="592"/>
    </row>
    <row r="25" spans="1:25" ht="20.100000000000001" customHeight="1" x14ac:dyDescent="0.25">
      <c r="A25" s="550"/>
      <c r="B25" s="548"/>
      <c r="C25" s="585" t="s">
        <v>165</v>
      </c>
      <c r="D25" s="586"/>
      <c r="E25" s="194"/>
      <c r="F25" s="194"/>
      <c r="G25" s="191"/>
      <c r="H25" s="597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  <c r="U25" s="598"/>
      <c r="V25" s="598"/>
      <c r="W25" s="598"/>
      <c r="X25" s="598"/>
      <c r="Y25" s="599"/>
    </row>
    <row r="26" spans="1:25" ht="9.9499999999999993" customHeight="1" x14ac:dyDescent="0.25">
      <c r="A26" s="551"/>
      <c r="B26" s="548"/>
      <c r="C26" s="183"/>
      <c r="D26" s="183"/>
      <c r="E26" s="183"/>
      <c r="F26" s="183"/>
      <c r="G26" s="190"/>
      <c r="H26" s="593"/>
      <c r="I26" s="594"/>
      <c r="J26" s="594"/>
      <c r="K26" s="594"/>
      <c r="L26" s="594"/>
      <c r="M26" s="594"/>
      <c r="N26" s="594"/>
      <c r="O26" s="594"/>
      <c r="P26" s="594"/>
      <c r="Q26" s="594"/>
      <c r="R26" s="594"/>
      <c r="S26" s="594"/>
      <c r="T26" s="594"/>
      <c r="U26" s="594"/>
      <c r="V26" s="594"/>
      <c r="W26" s="594"/>
      <c r="X26" s="594"/>
      <c r="Y26" s="595"/>
    </row>
    <row r="27" spans="1:25" ht="9.9499999999999993" customHeight="1" x14ac:dyDescent="0.25">
      <c r="A27" s="549">
        <f t="shared" ref="A27" si="3">1+A24</f>
        <v>7</v>
      </c>
      <c r="B27" s="548"/>
      <c r="C27" s="188"/>
      <c r="D27" s="188"/>
      <c r="E27" s="188"/>
      <c r="F27" s="188"/>
      <c r="G27" s="189"/>
      <c r="H27" s="590"/>
      <c r="I27" s="591"/>
      <c r="J27" s="591"/>
      <c r="K27" s="591"/>
      <c r="L27" s="591"/>
      <c r="M27" s="591"/>
      <c r="N27" s="591"/>
      <c r="O27" s="591"/>
      <c r="P27" s="591"/>
      <c r="Q27" s="591"/>
      <c r="R27" s="591"/>
      <c r="S27" s="591"/>
      <c r="T27" s="591"/>
      <c r="U27" s="591"/>
      <c r="V27" s="591"/>
      <c r="W27" s="591"/>
      <c r="X27" s="591"/>
      <c r="Y27" s="592"/>
    </row>
    <row r="28" spans="1:25" ht="20.100000000000001" customHeight="1" x14ac:dyDescent="0.25">
      <c r="A28" s="550"/>
      <c r="B28" s="548"/>
      <c r="C28" s="585" t="s">
        <v>165</v>
      </c>
      <c r="D28" s="586"/>
      <c r="E28" s="194"/>
      <c r="F28" s="194"/>
      <c r="G28" s="191"/>
      <c r="H28" s="597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  <c r="U28" s="598"/>
      <c r="V28" s="598"/>
      <c r="W28" s="598"/>
      <c r="X28" s="598"/>
      <c r="Y28" s="599"/>
    </row>
    <row r="29" spans="1:25" ht="9.9499999999999993" customHeight="1" x14ac:dyDescent="0.25">
      <c r="A29" s="551"/>
      <c r="B29" s="548"/>
      <c r="C29" s="183"/>
      <c r="D29" s="183"/>
      <c r="E29" s="183"/>
      <c r="F29" s="183"/>
      <c r="G29" s="190"/>
      <c r="H29" s="593"/>
      <c r="I29" s="594"/>
      <c r="J29" s="594"/>
      <c r="K29" s="594"/>
      <c r="L29" s="594"/>
      <c r="M29" s="594"/>
      <c r="N29" s="594"/>
      <c r="O29" s="594"/>
      <c r="P29" s="594"/>
      <c r="Q29" s="594"/>
      <c r="R29" s="594"/>
      <c r="S29" s="594"/>
      <c r="T29" s="594"/>
      <c r="U29" s="594"/>
      <c r="V29" s="594"/>
      <c r="W29" s="594"/>
      <c r="X29" s="594"/>
      <c r="Y29" s="595"/>
    </row>
    <row r="30" spans="1:25" ht="9.9499999999999993" customHeight="1" x14ac:dyDescent="0.25">
      <c r="A30" s="549">
        <f t="shared" ref="A30" si="4">1+A27</f>
        <v>8</v>
      </c>
      <c r="B30" s="548"/>
      <c r="C30" s="188"/>
      <c r="D30" s="188"/>
      <c r="E30" s="188"/>
      <c r="F30" s="188"/>
      <c r="G30" s="189"/>
      <c r="H30" s="590"/>
      <c r="I30" s="591"/>
      <c r="J30" s="591"/>
      <c r="K30" s="591"/>
      <c r="L30" s="591"/>
      <c r="M30" s="591"/>
      <c r="N30" s="591"/>
      <c r="O30" s="591"/>
      <c r="P30" s="591"/>
      <c r="Q30" s="591"/>
      <c r="R30" s="591"/>
      <c r="S30" s="591"/>
      <c r="T30" s="591"/>
      <c r="U30" s="591"/>
      <c r="V30" s="591"/>
      <c r="W30" s="591"/>
      <c r="X30" s="591"/>
      <c r="Y30" s="592"/>
    </row>
    <row r="31" spans="1:25" ht="20.100000000000001" customHeight="1" x14ac:dyDescent="0.25">
      <c r="A31" s="550"/>
      <c r="B31" s="548"/>
      <c r="C31" s="585" t="s">
        <v>165</v>
      </c>
      <c r="D31" s="586"/>
      <c r="E31" s="194"/>
      <c r="F31" s="194"/>
      <c r="G31" s="191"/>
      <c r="H31" s="597"/>
      <c r="I31" s="598"/>
      <c r="J31" s="598"/>
      <c r="K31" s="598"/>
      <c r="L31" s="598"/>
      <c r="M31" s="598"/>
      <c r="N31" s="598"/>
      <c r="O31" s="598"/>
      <c r="P31" s="598"/>
      <c r="Q31" s="598"/>
      <c r="R31" s="598"/>
      <c r="S31" s="598"/>
      <c r="T31" s="598"/>
      <c r="U31" s="598"/>
      <c r="V31" s="598"/>
      <c r="W31" s="598"/>
      <c r="X31" s="598"/>
      <c r="Y31" s="599"/>
    </row>
    <row r="32" spans="1:25" ht="9.9499999999999993" customHeight="1" x14ac:dyDescent="0.25">
      <c r="A32" s="551"/>
      <c r="B32" s="548"/>
      <c r="C32" s="183"/>
      <c r="D32" s="183"/>
      <c r="E32" s="183"/>
      <c r="F32" s="183"/>
      <c r="G32" s="190"/>
      <c r="H32" s="593"/>
      <c r="I32" s="594"/>
      <c r="J32" s="594"/>
      <c r="K32" s="594"/>
      <c r="L32" s="594"/>
      <c r="M32" s="594"/>
      <c r="N32" s="594"/>
      <c r="O32" s="594"/>
      <c r="P32" s="594"/>
      <c r="Q32" s="594"/>
      <c r="R32" s="594"/>
      <c r="S32" s="594"/>
      <c r="T32" s="594"/>
      <c r="U32" s="594"/>
      <c r="V32" s="594"/>
      <c r="W32" s="594"/>
      <c r="X32" s="594"/>
      <c r="Y32" s="595"/>
    </row>
    <row r="33" spans="1:25" ht="9.9499999999999993" customHeight="1" x14ac:dyDescent="0.25">
      <c r="A33" s="549">
        <f t="shared" ref="A33" si="5">1+A30</f>
        <v>9</v>
      </c>
      <c r="B33" s="548"/>
      <c r="C33" s="188"/>
      <c r="D33" s="188"/>
      <c r="E33" s="188"/>
      <c r="F33" s="188"/>
      <c r="G33" s="189"/>
      <c r="H33" s="590"/>
      <c r="I33" s="591"/>
      <c r="J33" s="591"/>
      <c r="K33" s="591"/>
      <c r="L33" s="591"/>
      <c r="M33" s="591"/>
      <c r="N33" s="591"/>
      <c r="O33" s="591"/>
      <c r="P33" s="591"/>
      <c r="Q33" s="591"/>
      <c r="R33" s="591"/>
      <c r="S33" s="591"/>
      <c r="T33" s="591"/>
      <c r="U33" s="591"/>
      <c r="V33" s="591"/>
      <c r="W33" s="591"/>
      <c r="X33" s="591"/>
      <c r="Y33" s="592"/>
    </row>
    <row r="34" spans="1:25" ht="20.100000000000001" customHeight="1" x14ac:dyDescent="0.25">
      <c r="A34" s="550"/>
      <c r="B34" s="548"/>
      <c r="C34" s="585" t="s">
        <v>165</v>
      </c>
      <c r="D34" s="586"/>
      <c r="E34" s="194"/>
      <c r="F34" s="194"/>
      <c r="G34" s="191"/>
      <c r="H34" s="597"/>
      <c r="I34" s="598"/>
      <c r="J34" s="598"/>
      <c r="K34" s="598"/>
      <c r="L34" s="598"/>
      <c r="M34" s="598"/>
      <c r="N34" s="598"/>
      <c r="O34" s="598"/>
      <c r="P34" s="598"/>
      <c r="Q34" s="598"/>
      <c r="R34" s="598"/>
      <c r="S34" s="598"/>
      <c r="T34" s="598"/>
      <c r="U34" s="598"/>
      <c r="V34" s="598"/>
      <c r="W34" s="598"/>
      <c r="X34" s="598"/>
      <c r="Y34" s="599"/>
    </row>
    <row r="35" spans="1:25" ht="9.75" customHeight="1" x14ac:dyDescent="0.25">
      <c r="A35" s="551"/>
      <c r="B35" s="548"/>
      <c r="C35" s="183"/>
      <c r="D35" s="183"/>
      <c r="E35" s="183"/>
      <c r="F35" s="183"/>
      <c r="G35" s="190"/>
      <c r="H35" s="593"/>
      <c r="I35" s="594"/>
      <c r="J35" s="594"/>
      <c r="K35" s="594"/>
      <c r="L35" s="594"/>
      <c r="M35" s="594"/>
      <c r="N35" s="594"/>
      <c r="O35" s="594"/>
      <c r="P35" s="594"/>
      <c r="Q35" s="594"/>
      <c r="R35" s="594"/>
      <c r="S35" s="594"/>
      <c r="T35" s="594"/>
      <c r="U35" s="594"/>
      <c r="V35" s="594"/>
      <c r="W35" s="594"/>
      <c r="X35" s="594"/>
      <c r="Y35" s="595"/>
    </row>
    <row r="36" spans="1:25" ht="9.9499999999999993" customHeight="1" x14ac:dyDescent="0.25">
      <c r="A36" s="549">
        <f t="shared" ref="A36" si="6">1+A33</f>
        <v>10</v>
      </c>
      <c r="B36" s="548"/>
      <c r="C36" s="188"/>
      <c r="D36" s="188"/>
      <c r="E36" s="188"/>
      <c r="F36" s="188"/>
      <c r="G36" s="189"/>
      <c r="H36" s="590"/>
      <c r="I36" s="591"/>
      <c r="J36" s="591"/>
      <c r="K36" s="591"/>
      <c r="L36" s="591"/>
      <c r="M36" s="591"/>
      <c r="N36" s="591"/>
      <c r="O36" s="591"/>
      <c r="P36" s="591"/>
      <c r="Q36" s="591"/>
      <c r="R36" s="591"/>
      <c r="S36" s="591"/>
      <c r="T36" s="591"/>
      <c r="U36" s="591"/>
      <c r="V36" s="591"/>
      <c r="W36" s="591"/>
      <c r="X36" s="591"/>
      <c r="Y36" s="592"/>
    </row>
    <row r="37" spans="1:25" ht="20.100000000000001" customHeight="1" x14ac:dyDescent="0.25">
      <c r="A37" s="550"/>
      <c r="B37" s="548"/>
      <c r="C37" s="585" t="s">
        <v>165</v>
      </c>
      <c r="D37" s="586"/>
      <c r="E37" s="194"/>
      <c r="F37" s="194"/>
      <c r="G37" s="191"/>
      <c r="H37" s="597"/>
      <c r="I37" s="598"/>
      <c r="J37" s="598"/>
      <c r="K37" s="598"/>
      <c r="L37" s="598"/>
      <c r="M37" s="598"/>
      <c r="N37" s="598"/>
      <c r="O37" s="598"/>
      <c r="P37" s="598"/>
      <c r="Q37" s="598"/>
      <c r="R37" s="598"/>
      <c r="S37" s="598"/>
      <c r="T37" s="598"/>
      <c r="U37" s="598"/>
      <c r="V37" s="598"/>
      <c r="W37" s="598"/>
      <c r="X37" s="598"/>
      <c r="Y37" s="599"/>
    </row>
    <row r="38" spans="1:25" ht="9.9499999999999993" customHeight="1" x14ac:dyDescent="0.25">
      <c r="A38" s="551"/>
      <c r="B38" s="548"/>
      <c r="C38" s="183"/>
      <c r="D38" s="183"/>
      <c r="E38" s="183"/>
      <c r="F38" s="183"/>
      <c r="G38" s="190"/>
      <c r="H38" s="593"/>
      <c r="I38" s="594"/>
      <c r="J38" s="594"/>
      <c r="K38" s="594"/>
      <c r="L38" s="594"/>
      <c r="M38" s="594"/>
      <c r="N38" s="594"/>
      <c r="O38" s="594"/>
      <c r="P38" s="594"/>
      <c r="Q38" s="594"/>
      <c r="R38" s="594"/>
      <c r="S38" s="594"/>
      <c r="T38" s="594"/>
      <c r="U38" s="594"/>
      <c r="V38" s="594"/>
      <c r="W38" s="594"/>
      <c r="X38" s="594"/>
      <c r="Y38" s="595"/>
    </row>
    <row r="39" spans="1:25" ht="9.9499999999999993" customHeight="1" x14ac:dyDescent="0.25">
      <c r="A39" s="549">
        <f t="shared" ref="A39:A66" si="7">1+A36</f>
        <v>11</v>
      </c>
      <c r="B39" s="548"/>
      <c r="C39" s="188"/>
      <c r="D39" s="188"/>
      <c r="E39" s="188"/>
      <c r="F39" s="188"/>
      <c r="G39" s="189"/>
      <c r="H39" s="590"/>
      <c r="I39" s="591"/>
      <c r="J39" s="591"/>
      <c r="K39" s="591"/>
      <c r="L39" s="591"/>
      <c r="M39" s="591"/>
      <c r="N39" s="591"/>
      <c r="O39" s="591"/>
      <c r="P39" s="591"/>
      <c r="Q39" s="591"/>
      <c r="R39" s="591"/>
      <c r="S39" s="591"/>
      <c r="T39" s="591"/>
      <c r="U39" s="591"/>
      <c r="V39" s="591"/>
      <c r="W39" s="591"/>
      <c r="X39" s="591"/>
      <c r="Y39" s="592"/>
    </row>
    <row r="40" spans="1:25" ht="20.100000000000001" customHeight="1" x14ac:dyDescent="0.25">
      <c r="A40" s="550"/>
      <c r="B40" s="548"/>
      <c r="C40" s="585" t="s">
        <v>165</v>
      </c>
      <c r="D40" s="586"/>
      <c r="E40" s="194"/>
      <c r="F40" s="194"/>
      <c r="G40" s="191"/>
      <c r="H40" s="597"/>
      <c r="I40" s="598"/>
      <c r="J40" s="598"/>
      <c r="K40" s="598"/>
      <c r="L40" s="598"/>
      <c r="M40" s="598"/>
      <c r="N40" s="598"/>
      <c r="O40" s="598"/>
      <c r="P40" s="598"/>
      <c r="Q40" s="598"/>
      <c r="R40" s="598"/>
      <c r="S40" s="598"/>
      <c r="T40" s="598"/>
      <c r="U40" s="598"/>
      <c r="V40" s="598"/>
      <c r="W40" s="598"/>
      <c r="X40" s="598"/>
      <c r="Y40" s="599"/>
    </row>
    <row r="41" spans="1:25" ht="9.9499999999999993" customHeight="1" x14ac:dyDescent="0.25">
      <c r="A41" s="551"/>
      <c r="B41" s="548"/>
      <c r="C41" s="183"/>
      <c r="D41" s="183"/>
      <c r="E41" s="183"/>
      <c r="F41" s="183"/>
      <c r="G41" s="190"/>
      <c r="H41" s="593"/>
      <c r="I41" s="594"/>
      <c r="J41" s="594"/>
      <c r="K41" s="594"/>
      <c r="L41" s="594"/>
      <c r="M41" s="594"/>
      <c r="N41" s="594"/>
      <c r="O41" s="594"/>
      <c r="P41" s="594"/>
      <c r="Q41" s="594"/>
      <c r="R41" s="594"/>
      <c r="S41" s="594"/>
      <c r="T41" s="594"/>
      <c r="U41" s="594"/>
      <c r="V41" s="594"/>
      <c r="W41" s="594"/>
      <c r="X41" s="594"/>
      <c r="Y41" s="595"/>
    </row>
    <row r="42" spans="1:25" ht="9.9499999999999993" customHeight="1" x14ac:dyDescent="0.25">
      <c r="A42" s="549">
        <f t="shared" si="7"/>
        <v>12</v>
      </c>
      <c r="B42" s="548"/>
      <c r="C42" s="188"/>
      <c r="D42" s="188"/>
      <c r="E42" s="188"/>
      <c r="F42" s="188"/>
      <c r="G42" s="189"/>
      <c r="H42" s="590"/>
      <c r="I42" s="591"/>
      <c r="J42" s="591"/>
      <c r="K42" s="591"/>
      <c r="L42" s="591"/>
      <c r="M42" s="591"/>
      <c r="N42" s="591"/>
      <c r="O42" s="591"/>
      <c r="P42" s="591"/>
      <c r="Q42" s="591"/>
      <c r="R42" s="591"/>
      <c r="S42" s="591"/>
      <c r="T42" s="591"/>
      <c r="U42" s="591"/>
      <c r="V42" s="591"/>
      <c r="W42" s="591"/>
      <c r="X42" s="591"/>
      <c r="Y42" s="592"/>
    </row>
    <row r="43" spans="1:25" ht="20.100000000000001" customHeight="1" x14ac:dyDescent="0.25">
      <c r="A43" s="550"/>
      <c r="B43" s="548"/>
      <c r="C43" s="585" t="s">
        <v>165</v>
      </c>
      <c r="D43" s="586"/>
      <c r="E43" s="194"/>
      <c r="F43" s="194"/>
      <c r="G43" s="191"/>
      <c r="H43" s="597"/>
      <c r="I43" s="598"/>
      <c r="J43" s="598"/>
      <c r="K43" s="598"/>
      <c r="L43" s="598"/>
      <c r="M43" s="598"/>
      <c r="N43" s="598"/>
      <c r="O43" s="598"/>
      <c r="P43" s="598"/>
      <c r="Q43" s="598"/>
      <c r="R43" s="598"/>
      <c r="S43" s="598"/>
      <c r="T43" s="598"/>
      <c r="U43" s="598"/>
      <c r="V43" s="598"/>
      <c r="W43" s="598"/>
      <c r="X43" s="598"/>
      <c r="Y43" s="599"/>
    </row>
    <row r="44" spans="1:25" ht="9.9499999999999993" customHeight="1" x14ac:dyDescent="0.25">
      <c r="A44" s="551"/>
      <c r="B44" s="548"/>
      <c r="C44" s="183"/>
      <c r="D44" s="183"/>
      <c r="E44" s="183"/>
      <c r="F44" s="183"/>
      <c r="G44" s="190"/>
      <c r="H44" s="593"/>
      <c r="I44" s="594"/>
      <c r="J44" s="594"/>
      <c r="K44" s="594"/>
      <c r="L44" s="594"/>
      <c r="M44" s="594"/>
      <c r="N44" s="594"/>
      <c r="O44" s="594"/>
      <c r="P44" s="594"/>
      <c r="Q44" s="594"/>
      <c r="R44" s="594"/>
      <c r="S44" s="594"/>
      <c r="T44" s="594"/>
      <c r="U44" s="594"/>
      <c r="V44" s="594"/>
      <c r="W44" s="594"/>
      <c r="X44" s="594"/>
      <c r="Y44" s="595"/>
    </row>
    <row r="45" spans="1:25" ht="9.9499999999999993" customHeight="1" x14ac:dyDescent="0.25">
      <c r="A45" s="549">
        <f t="shared" si="7"/>
        <v>13</v>
      </c>
      <c r="B45" s="548"/>
      <c r="C45" s="188"/>
      <c r="D45" s="188"/>
      <c r="E45" s="188"/>
      <c r="F45" s="188"/>
      <c r="G45" s="189"/>
      <c r="H45" s="590"/>
      <c r="I45" s="591"/>
      <c r="J45" s="591"/>
      <c r="K45" s="591"/>
      <c r="L45" s="591"/>
      <c r="M45" s="591"/>
      <c r="N45" s="591"/>
      <c r="O45" s="591"/>
      <c r="P45" s="591"/>
      <c r="Q45" s="591"/>
      <c r="R45" s="591"/>
      <c r="S45" s="591"/>
      <c r="T45" s="591"/>
      <c r="U45" s="591"/>
      <c r="V45" s="591"/>
      <c r="W45" s="591"/>
      <c r="X45" s="591"/>
      <c r="Y45" s="592"/>
    </row>
    <row r="46" spans="1:25" ht="20.100000000000001" customHeight="1" x14ac:dyDescent="0.25">
      <c r="A46" s="550"/>
      <c r="B46" s="548"/>
      <c r="C46" s="585" t="s">
        <v>165</v>
      </c>
      <c r="D46" s="586"/>
      <c r="E46" s="194"/>
      <c r="F46" s="194"/>
      <c r="G46" s="191"/>
      <c r="H46" s="597"/>
      <c r="I46" s="598"/>
      <c r="J46" s="598"/>
      <c r="K46" s="598"/>
      <c r="L46" s="598"/>
      <c r="M46" s="598"/>
      <c r="N46" s="598"/>
      <c r="O46" s="598"/>
      <c r="P46" s="598"/>
      <c r="Q46" s="598"/>
      <c r="R46" s="598"/>
      <c r="S46" s="598"/>
      <c r="T46" s="598"/>
      <c r="U46" s="598"/>
      <c r="V46" s="598"/>
      <c r="W46" s="598"/>
      <c r="X46" s="598"/>
      <c r="Y46" s="599"/>
    </row>
    <row r="47" spans="1:25" ht="9.9499999999999993" customHeight="1" x14ac:dyDescent="0.25">
      <c r="A47" s="551"/>
      <c r="B47" s="548"/>
      <c r="C47" s="183"/>
      <c r="D47" s="183"/>
      <c r="E47" s="183"/>
      <c r="F47" s="183"/>
      <c r="G47" s="190"/>
      <c r="H47" s="593"/>
      <c r="I47" s="594"/>
      <c r="J47" s="594"/>
      <c r="K47" s="594"/>
      <c r="L47" s="594"/>
      <c r="M47" s="594"/>
      <c r="N47" s="594"/>
      <c r="O47" s="594"/>
      <c r="P47" s="594"/>
      <c r="Q47" s="594"/>
      <c r="R47" s="594"/>
      <c r="S47" s="594"/>
      <c r="T47" s="594"/>
      <c r="U47" s="594"/>
      <c r="V47" s="594"/>
      <c r="W47" s="594"/>
      <c r="X47" s="594"/>
      <c r="Y47" s="595"/>
    </row>
    <row r="48" spans="1:25" ht="9.9499999999999993" customHeight="1" x14ac:dyDescent="0.25">
      <c r="A48" s="549">
        <f t="shared" si="7"/>
        <v>14</v>
      </c>
      <c r="B48" s="548"/>
      <c r="C48" s="188"/>
      <c r="D48" s="188"/>
      <c r="E48" s="188"/>
      <c r="F48" s="188"/>
      <c r="G48" s="189"/>
      <c r="H48" s="590"/>
      <c r="I48" s="591"/>
      <c r="J48" s="591"/>
      <c r="K48" s="591"/>
      <c r="L48" s="591"/>
      <c r="M48" s="591"/>
      <c r="N48" s="591"/>
      <c r="O48" s="591"/>
      <c r="P48" s="591"/>
      <c r="Q48" s="591"/>
      <c r="R48" s="591"/>
      <c r="S48" s="591"/>
      <c r="T48" s="591"/>
      <c r="U48" s="591"/>
      <c r="V48" s="591"/>
      <c r="W48" s="591"/>
      <c r="X48" s="591"/>
      <c r="Y48" s="592"/>
    </row>
    <row r="49" spans="1:25" ht="20.100000000000001" customHeight="1" x14ac:dyDescent="0.25">
      <c r="A49" s="550"/>
      <c r="B49" s="548"/>
      <c r="C49" s="585" t="s">
        <v>165</v>
      </c>
      <c r="D49" s="586"/>
      <c r="E49" s="194"/>
      <c r="F49" s="194"/>
      <c r="G49" s="191"/>
      <c r="H49" s="597"/>
      <c r="I49" s="598"/>
      <c r="J49" s="598"/>
      <c r="K49" s="598"/>
      <c r="L49" s="598"/>
      <c r="M49" s="598"/>
      <c r="N49" s="598"/>
      <c r="O49" s="598"/>
      <c r="P49" s="598"/>
      <c r="Q49" s="598"/>
      <c r="R49" s="598"/>
      <c r="S49" s="598"/>
      <c r="T49" s="598"/>
      <c r="U49" s="598"/>
      <c r="V49" s="598"/>
      <c r="W49" s="598"/>
      <c r="X49" s="598"/>
      <c r="Y49" s="599"/>
    </row>
    <row r="50" spans="1:25" ht="9.9499999999999993" customHeight="1" x14ac:dyDescent="0.25">
      <c r="A50" s="551"/>
      <c r="B50" s="548"/>
      <c r="C50" s="183"/>
      <c r="D50" s="183"/>
      <c r="E50" s="183"/>
      <c r="F50" s="183"/>
      <c r="G50" s="190"/>
      <c r="H50" s="593"/>
      <c r="I50" s="594"/>
      <c r="J50" s="594"/>
      <c r="K50" s="594"/>
      <c r="L50" s="594"/>
      <c r="M50" s="594"/>
      <c r="N50" s="594"/>
      <c r="O50" s="594"/>
      <c r="P50" s="594"/>
      <c r="Q50" s="594"/>
      <c r="R50" s="594"/>
      <c r="S50" s="594"/>
      <c r="T50" s="594"/>
      <c r="U50" s="594"/>
      <c r="V50" s="594"/>
      <c r="W50" s="594"/>
      <c r="X50" s="594"/>
      <c r="Y50" s="595"/>
    </row>
    <row r="51" spans="1:25" ht="9.9499999999999993" customHeight="1" x14ac:dyDescent="0.25">
      <c r="A51" s="549">
        <f t="shared" si="7"/>
        <v>15</v>
      </c>
      <c r="B51" s="548"/>
      <c r="C51" s="188"/>
      <c r="D51" s="188"/>
      <c r="E51" s="188"/>
      <c r="F51" s="188"/>
      <c r="G51" s="189"/>
      <c r="H51" s="590"/>
      <c r="I51" s="591"/>
      <c r="J51" s="591"/>
      <c r="K51" s="591"/>
      <c r="L51" s="591"/>
      <c r="M51" s="591"/>
      <c r="N51" s="591"/>
      <c r="O51" s="591"/>
      <c r="P51" s="591"/>
      <c r="Q51" s="591"/>
      <c r="R51" s="591"/>
      <c r="S51" s="591"/>
      <c r="T51" s="591"/>
      <c r="U51" s="591"/>
      <c r="V51" s="591"/>
      <c r="W51" s="591"/>
      <c r="X51" s="591"/>
      <c r="Y51" s="592"/>
    </row>
    <row r="52" spans="1:25" ht="20.100000000000001" customHeight="1" x14ac:dyDescent="0.25">
      <c r="A52" s="550"/>
      <c r="B52" s="548"/>
      <c r="C52" s="585" t="s">
        <v>165</v>
      </c>
      <c r="D52" s="586"/>
      <c r="E52" s="194"/>
      <c r="F52" s="194"/>
      <c r="G52" s="191"/>
      <c r="H52" s="597"/>
      <c r="I52" s="598"/>
      <c r="J52" s="598"/>
      <c r="K52" s="598"/>
      <c r="L52" s="598"/>
      <c r="M52" s="598"/>
      <c r="N52" s="598"/>
      <c r="O52" s="598"/>
      <c r="P52" s="598"/>
      <c r="Q52" s="598"/>
      <c r="R52" s="598"/>
      <c r="S52" s="598"/>
      <c r="T52" s="598"/>
      <c r="U52" s="598"/>
      <c r="V52" s="598"/>
      <c r="W52" s="598"/>
      <c r="X52" s="598"/>
      <c r="Y52" s="599"/>
    </row>
    <row r="53" spans="1:25" ht="9.9499999999999993" customHeight="1" x14ac:dyDescent="0.25">
      <c r="A53" s="551"/>
      <c r="B53" s="548"/>
      <c r="C53" s="183"/>
      <c r="D53" s="183"/>
      <c r="E53" s="183"/>
      <c r="F53" s="183"/>
      <c r="G53" s="190"/>
      <c r="H53" s="593"/>
      <c r="I53" s="594"/>
      <c r="J53" s="594"/>
      <c r="K53" s="594"/>
      <c r="L53" s="594"/>
      <c r="M53" s="594"/>
      <c r="N53" s="594"/>
      <c r="O53" s="594"/>
      <c r="P53" s="594"/>
      <c r="Q53" s="594"/>
      <c r="R53" s="594"/>
      <c r="S53" s="594"/>
      <c r="T53" s="594"/>
      <c r="U53" s="594"/>
      <c r="V53" s="594"/>
      <c r="W53" s="594"/>
      <c r="X53" s="594"/>
      <c r="Y53" s="595"/>
    </row>
    <row r="54" spans="1:25" ht="9.9499999999999993" customHeight="1" x14ac:dyDescent="0.25">
      <c r="A54" s="549">
        <f t="shared" si="7"/>
        <v>16</v>
      </c>
      <c r="B54" s="548"/>
      <c r="C54" s="188"/>
      <c r="D54" s="188"/>
      <c r="E54" s="188"/>
      <c r="F54" s="188"/>
      <c r="G54" s="189"/>
      <c r="H54" s="590"/>
      <c r="I54" s="591"/>
      <c r="J54" s="591"/>
      <c r="K54" s="591"/>
      <c r="L54" s="591"/>
      <c r="M54" s="591"/>
      <c r="N54" s="591"/>
      <c r="O54" s="591"/>
      <c r="P54" s="591"/>
      <c r="Q54" s="591"/>
      <c r="R54" s="591"/>
      <c r="S54" s="591"/>
      <c r="T54" s="591"/>
      <c r="U54" s="591"/>
      <c r="V54" s="591"/>
      <c r="W54" s="591"/>
      <c r="X54" s="591"/>
      <c r="Y54" s="592"/>
    </row>
    <row r="55" spans="1:25" ht="20.100000000000001" customHeight="1" x14ac:dyDescent="0.25">
      <c r="A55" s="550"/>
      <c r="B55" s="548"/>
      <c r="C55" s="585" t="s">
        <v>165</v>
      </c>
      <c r="D55" s="586"/>
      <c r="E55" s="194"/>
      <c r="F55" s="194"/>
      <c r="G55" s="191"/>
      <c r="H55" s="597"/>
      <c r="I55" s="598"/>
      <c r="J55" s="598"/>
      <c r="K55" s="598"/>
      <c r="L55" s="598"/>
      <c r="M55" s="598"/>
      <c r="N55" s="598"/>
      <c r="O55" s="598"/>
      <c r="P55" s="598"/>
      <c r="Q55" s="598"/>
      <c r="R55" s="598"/>
      <c r="S55" s="598"/>
      <c r="T55" s="598"/>
      <c r="U55" s="598"/>
      <c r="V55" s="598"/>
      <c r="W55" s="598"/>
      <c r="X55" s="598"/>
      <c r="Y55" s="599"/>
    </row>
    <row r="56" spans="1:25" ht="9.9499999999999993" customHeight="1" x14ac:dyDescent="0.25">
      <c r="A56" s="551"/>
      <c r="B56" s="548"/>
      <c r="C56" s="183"/>
      <c r="D56" s="183"/>
      <c r="E56" s="183"/>
      <c r="F56" s="183"/>
      <c r="G56" s="190"/>
      <c r="H56" s="593"/>
      <c r="I56" s="594"/>
      <c r="J56" s="594"/>
      <c r="K56" s="594"/>
      <c r="L56" s="594"/>
      <c r="M56" s="594"/>
      <c r="N56" s="594"/>
      <c r="O56" s="594"/>
      <c r="P56" s="594"/>
      <c r="Q56" s="594"/>
      <c r="R56" s="594"/>
      <c r="S56" s="594"/>
      <c r="T56" s="594"/>
      <c r="U56" s="594"/>
      <c r="V56" s="594"/>
      <c r="W56" s="594"/>
      <c r="X56" s="594"/>
      <c r="Y56" s="595"/>
    </row>
    <row r="57" spans="1:25" ht="9.9499999999999993" customHeight="1" x14ac:dyDescent="0.25">
      <c r="A57" s="549">
        <f t="shared" si="7"/>
        <v>17</v>
      </c>
      <c r="B57" s="548"/>
      <c r="C57" s="188"/>
      <c r="D57" s="188"/>
      <c r="E57" s="188"/>
      <c r="F57" s="188"/>
      <c r="G57" s="189"/>
      <c r="H57" s="590"/>
      <c r="I57" s="591"/>
      <c r="J57" s="591"/>
      <c r="K57" s="591"/>
      <c r="L57" s="591"/>
      <c r="M57" s="591"/>
      <c r="N57" s="591"/>
      <c r="O57" s="591"/>
      <c r="P57" s="591"/>
      <c r="Q57" s="591"/>
      <c r="R57" s="591"/>
      <c r="S57" s="591"/>
      <c r="T57" s="591"/>
      <c r="U57" s="591"/>
      <c r="V57" s="591"/>
      <c r="W57" s="591"/>
      <c r="X57" s="591"/>
      <c r="Y57" s="592"/>
    </row>
    <row r="58" spans="1:25" ht="20.100000000000001" customHeight="1" x14ac:dyDescent="0.25">
      <c r="A58" s="550"/>
      <c r="B58" s="548"/>
      <c r="C58" s="585" t="s">
        <v>165</v>
      </c>
      <c r="D58" s="586"/>
      <c r="E58" s="194"/>
      <c r="F58" s="194"/>
      <c r="G58" s="191"/>
      <c r="H58" s="597"/>
      <c r="I58" s="598"/>
      <c r="J58" s="598"/>
      <c r="K58" s="598"/>
      <c r="L58" s="598"/>
      <c r="M58" s="598"/>
      <c r="N58" s="598"/>
      <c r="O58" s="598"/>
      <c r="P58" s="598"/>
      <c r="Q58" s="598"/>
      <c r="R58" s="598"/>
      <c r="S58" s="598"/>
      <c r="T58" s="598"/>
      <c r="U58" s="598"/>
      <c r="V58" s="598"/>
      <c r="W58" s="598"/>
      <c r="X58" s="598"/>
      <c r="Y58" s="599"/>
    </row>
    <row r="59" spans="1:25" ht="9.9499999999999993" customHeight="1" x14ac:dyDescent="0.25">
      <c r="A59" s="551"/>
      <c r="B59" s="548"/>
      <c r="C59" s="183"/>
      <c r="D59" s="183"/>
      <c r="E59" s="183"/>
      <c r="F59" s="183"/>
      <c r="G59" s="190"/>
      <c r="H59" s="593"/>
      <c r="I59" s="594"/>
      <c r="J59" s="594"/>
      <c r="K59" s="594"/>
      <c r="L59" s="594"/>
      <c r="M59" s="594"/>
      <c r="N59" s="594"/>
      <c r="O59" s="594"/>
      <c r="P59" s="594"/>
      <c r="Q59" s="594"/>
      <c r="R59" s="594"/>
      <c r="S59" s="594"/>
      <c r="T59" s="594"/>
      <c r="U59" s="594"/>
      <c r="V59" s="594"/>
      <c r="W59" s="594"/>
      <c r="X59" s="594"/>
      <c r="Y59" s="595"/>
    </row>
    <row r="60" spans="1:25" ht="9.9499999999999993" customHeight="1" x14ac:dyDescent="0.25">
      <c r="A60" s="549">
        <f t="shared" si="7"/>
        <v>18</v>
      </c>
      <c r="B60" s="548"/>
      <c r="C60" s="188"/>
      <c r="D60" s="188"/>
      <c r="E60" s="188"/>
      <c r="F60" s="188"/>
      <c r="G60" s="189"/>
      <c r="H60" s="590"/>
      <c r="I60" s="591"/>
      <c r="J60" s="591"/>
      <c r="K60" s="591"/>
      <c r="L60" s="591"/>
      <c r="M60" s="591"/>
      <c r="N60" s="591"/>
      <c r="O60" s="591"/>
      <c r="P60" s="591"/>
      <c r="Q60" s="591"/>
      <c r="R60" s="591"/>
      <c r="S60" s="591"/>
      <c r="T60" s="591"/>
      <c r="U60" s="591"/>
      <c r="V60" s="591"/>
      <c r="W60" s="591"/>
      <c r="X60" s="591"/>
      <c r="Y60" s="592"/>
    </row>
    <row r="61" spans="1:25" ht="20.100000000000001" customHeight="1" x14ac:dyDescent="0.25">
      <c r="A61" s="550"/>
      <c r="B61" s="548"/>
      <c r="C61" s="585" t="s">
        <v>165</v>
      </c>
      <c r="D61" s="586"/>
      <c r="E61" s="194"/>
      <c r="F61" s="194"/>
      <c r="G61" s="191"/>
      <c r="H61" s="597"/>
      <c r="I61" s="598"/>
      <c r="J61" s="598"/>
      <c r="K61" s="598"/>
      <c r="L61" s="598"/>
      <c r="M61" s="598"/>
      <c r="N61" s="598"/>
      <c r="O61" s="598"/>
      <c r="P61" s="598"/>
      <c r="Q61" s="598"/>
      <c r="R61" s="598"/>
      <c r="S61" s="598"/>
      <c r="T61" s="598"/>
      <c r="U61" s="598"/>
      <c r="V61" s="598"/>
      <c r="W61" s="598"/>
      <c r="X61" s="598"/>
      <c r="Y61" s="599"/>
    </row>
    <row r="62" spans="1:25" ht="9.9499999999999993" customHeight="1" x14ac:dyDescent="0.25">
      <c r="A62" s="551"/>
      <c r="B62" s="548"/>
      <c r="C62" s="183"/>
      <c r="D62" s="183"/>
      <c r="E62" s="183"/>
      <c r="F62" s="183"/>
      <c r="G62" s="190"/>
      <c r="H62" s="593"/>
      <c r="I62" s="594"/>
      <c r="J62" s="594"/>
      <c r="K62" s="594"/>
      <c r="L62" s="594"/>
      <c r="M62" s="594"/>
      <c r="N62" s="594"/>
      <c r="O62" s="594"/>
      <c r="P62" s="594"/>
      <c r="Q62" s="594"/>
      <c r="R62" s="594"/>
      <c r="S62" s="594"/>
      <c r="T62" s="594"/>
      <c r="U62" s="594"/>
      <c r="V62" s="594"/>
      <c r="W62" s="594"/>
      <c r="X62" s="594"/>
      <c r="Y62" s="595"/>
    </row>
    <row r="63" spans="1:25" ht="9.9499999999999993" customHeight="1" x14ac:dyDescent="0.25">
      <c r="A63" s="549">
        <f t="shared" si="7"/>
        <v>19</v>
      </c>
      <c r="B63" s="548"/>
      <c r="C63" s="188"/>
      <c r="D63" s="188"/>
      <c r="E63" s="188"/>
      <c r="F63" s="188"/>
      <c r="G63" s="189"/>
      <c r="H63" s="590"/>
      <c r="I63" s="591"/>
      <c r="J63" s="591"/>
      <c r="K63" s="591"/>
      <c r="L63" s="591"/>
      <c r="M63" s="591"/>
      <c r="N63" s="591"/>
      <c r="O63" s="591"/>
      <c r="P63" s="591"/>
      <c r="Q63" s="591"/>
      <c r="R63" s="591"/>
      <c r="S63" s="591"/>
      <c r="T63" s="591"/>
      <c r="U63" s="591"/>
      <c r="V63" s="591"/>
      <c r="W63" s="591"/>
      <c r="X63" s="591"/>
      <c r="Y63" s="592"/>
    </row>
    <row r="64" spans="1:25" ht="20.100000000000001" customHeight="1" x14ac:dyDescent="0.25">
      <c r="A64" s="550"/>
      <c r="B64" s="548"/>
      <c r="C64" s="585" t="s">
        <v>165</v>
      </c>
      <c r="D64" s="586"/>
      <c r="E64" s="194"/>
      <c r="F64" s="194"/>
      <c r="G64" s="191"/>
      <c r="H64" s="597"/>
      <c r="I64" s="598"/>
      <c r="J64" s="598"/>
      <c r="K64" s="598"/>
      <c r="L64" s="598"/>
      <c r="M64" s="598"/>
      <c r="N64" s="598"/>
      <c r="O64" s="598"/>
      <c r="P64" s="598"/>
      <c r="Q64" s="598"/>
      <c r="R64" s="598"/>
      <c r="S64" s="598"/>
      <c r="T64" s="598"/>
      <c r="U64" s="598"/>
      <c r="V64" s="598"/>
      <c r="W64" s="598"/>
      <c r="X64" s="598"/>
      <c r="Y64" s="599"/>
    </row>
    <row r="65" spans="1:25" ht="9.9499999999999993" customHeight="1" x14ac:dyDescent="0.25">
      <c r="A65" s="551"/>
      <c r="B65" s="548"/>
      <c r="C65" s="183"/>
      <c r="D65" s="183"/>
      <c r="E65" s="183"/>
      <c r="F65" s="183"/>
      <c r="G65" s="190"/>
      <c r="H65" s="593"/>
      <c r="I65" s="594"/>
      <c r="J65" s="594"/>
      <c r="K65" s="594"/>
      <c r="L65" s="594"/>
      <c r="M65" s="594"/>
      <c r="N65" s="594"/>
      <c r="O65" s="594"/>
      <c r="P65" s="594"/>
      <c r="Q65" s="594"/>
      <c r="R65" s="594"/>
      <c r="S65" s="594"/>
      <c r="T65" s="594"/>
      <c r="U65" s="594"/>
      <c r="V65" s="594"/>
      <c r="W65" s="594"/>
      <c r="X65" s="594"/>
      <c r="Y65" s="595"/>
    </row>
    <row r="66" spans="1:25" ht="9.9499999999999993" customHeight="1" x14ac:dyDescent="0.25">
      <c r="A66" s="549">
        <f t="shared" si="7"/>
        <v>20</v>
      </c>
      <c r="B66" s="548"/>
      <c r="C66" s="188"/>
      <c r="D66" s="188"/>
      <c r="E66" s="188"/>
      <c r="F66" s="188"/>
      <c r="G66" s="189"/>
      <c r="H66" s="590"/>
      <c r="I66" s="591"/>
      <c r="J66" s="591"/>
      <c r="K66" s="591"/>
      <c r="L66" s="591"/>
      <c r="M66" s="591"/>
      <c r="N66" s="591"/>
      <c r="O66" s="591"/>
      <c r="P66" s="591"/>
      <c r="Q66" s="591"/>
      <c r="R66" s="591"/>
      <c r="S66" s="591"/>
      <c r="T66" s="591"/>
      <c r="U66" s="591"/>
      <c r="V66" s="591"/>
      <c r="W66" s="591"/>
      <c r="X66" s="591"/>
      <c r="Y66" s="592"/>
    </row>
    <row r="67" spans="1:25" ht="20.100000000000001" customHeight="1" x14ac:dyDescent="0.25">
      <c r="A67" s="550"/>
      <c r="B67" s="548"/>
      <c r="C67" s="585" t="s">
        <v>165</v>
      </c>
      <c r="D67" s="586"/>
      <c r="E67" s="194"/>
      <c r="F67" s="194"/>
      <c r="G67" s="191"/>
      <c r="H67" s="597"/>
      <c r="I67" s="598"/>
      <c r="J67" s="598"/>
      <c r="K67" s="598"/>
      <c r="L67" s="598"/>
      <c r="M67" s="598"/>
      <c r="N67" s="598"/>
      <c r="O67" s="598"/>
      <c r="P67" s="598"/>
      <c r="Q67" s="598"/>
      <c r="R67" s="598"/>
      <c r="S67" s="598"/>
      <c r="T67" s="598"/>
      <c r="U67" s="598"/>
      <c r="V67" s="598"/>
      <c r="W67" s="598"/>
      <c r="X67" s="598"/>
      <c r="Y67" s="599"/>
    </row>
    <row r="68" spans="1:25" ht="9.9499999999999993" customHeight="1" x14ac:dyDescent="0.25">
      <c r="A68" s="551"/>
      <c r="B68" s="548"/>
      <c r="C68" s="183"/>
      <c r="D68" s="183"/>
      <c r="E68" s="183"/>
      <c r="F68" s="183"/>
      <c r="G68" s="190"/>
      <c r="H68" s="593"/>
      <c r="I68" s="594"/>
      <c r="J68" s="594"/>
      <c r="K68" s="594"/>
      <c r="L68" s="594"/>
      <c r="M68" s="594"/>
      <c r="N68" s="594"/>
      <c r="O68" s="594"/>
      <c r="P68" s="594"/>
      <c r="Q68" s="594"/>
      <c r="R68" s="594"/>
      <c r="S68" s="594"/>
      <c r="T68" s="594"/>
      <c r="U68" s="594"/>
      <c r="V68" s="594"/>
      <c r="W68" s="594"/>
      <c r="X68" s="594"/>
      <c r="Y68" s="595"/>
    </row>
    <row r="69" spans="1:25" ht="9.9499999999999993" customHeight="1" x14ac:dyDescent="0.25">
      <c r="A69" s="549">
        <f t="shared" ref="A69:A96" si="8">1+A66</f>
        <v>21</v>
      </c>
      <c r="B69" s="548"/>
      <c r="C69" s="188"/>
      <c r="D69" s="188"/>
      <c r="E69" s="188"/>
      <c r="F69" s="188"/>
      <c r="G69" s="189"/>
      <c r="H69" s="590"/>
      <c r="I69" s="591"/>
      <c r="J69" s="591"/>
      <c r="K69" s="591"/>
      <c r="L69" s="591"/>
      <c r="M69" s="591"/>
      <c r="N69" s="591"/>
      <c r="O69" s="591"/>
      <c r="P69" s="591"/>
      <c r="Q69" s="591"/>
      <c r="R69" s="591"/>
      <c r="S69" s="591"/>
      <c r="T69" s="591"/>
      <c r="U69" s="591"/>
      <c r="V69" s="591"/>
      <c r="W69" s="591"/>
      <c r="X69" s="591"/>
      <c r="Y69" s="592"/>
    </row>
    <row r="70" spans="1:25" ht="20.100000000000001" customHeight="1" x14ac:dyDescent="0.25">
      <c r="A70" s="550"/>
      <c r="B70" s="548"/>
      <c r="C70" s="585" t="s">
        <v>165</v>
      </c>
      <c r="D70" s="586"/>
      <c r="E70" s="194"/>
      <c r="F70" s="194"/>
      <c r="G70" s="191"/>
      <c r="H70" s="597"/>
      <c r="I70" s="598"/>
      <c r="J70" s="598"/>
      <c r="K70" s="598"/>
      <c r="L70" s="598"/>
      <c r="M70" s="598"/>
      <c r="N70" s="598"/>
      <c r="O70" s="598"/>
      <c r="P70" s="598"/>
      <c r="Q70" s="598"/>
      <c r="R70" s="598"/>
      <c r="S70" s="598"/>
      <c r="T70" s="598"/>
      <c r="U70" s="598"/>
      <c r="V70" s="598"/>
      <c r="W70" s="598"/>
      <c r="X70" s="598"/>
      <c r="Y70" s="599"/>
    </row>
    <row r="71" spans="1:25" ht="9.9499999999999993" customHeight="1" x14ac:dyDescent="0.25">
      <c r="A71" s="551"/>
      <c r="B71" s="548"/>
      <c r="C71" s="183"/>
      <c r="D71" s="183"/>
      <c r="E71" s="183"/>
      <c r="F71" s="183"/>
      <c r="G71" s="190"/>
      <c r="H71" s="593"/>
      <c r="I71" s="594"/>
      <c r="J71" s="594"/>
      <c r="K71" s="594"/>
      <c r="L71" s="594"/>
      <c r="M71" s="594"/>
      <c r="N71" s="594"/>
      <c r="O71" s="594"/>
      <c r="P71" s="594"/>
      <c r="Q71" s="594"/>
      <c r="R71" s="594"/>
      <c r="S71" s="594"/>
      <c r="T71" s="594"/>
      <c r="U71" s="594"/>
      <c r="V71" s="594"/>
      <c r="W71" s="594"/>
      <c r="X71" s="594"/>
      <c r="Y71" s="595"/>
    </row>
    <row r="72" spans="1:25" ht="9.9499999999999993" customHeight="1" x14ac:dyDescent="0.25">
      <c r="A72" s="549">
        <f t="shared" si="8"/>
        <v>22</v>
      </c>
      <c r="B72" s="548"/>
      <c r="C72" s="188"/>
      <c r="D72" s="188"/>
      <c r="E72" s="188"/>
      <c r="F72" s="188"/>
      <c r="G72" s="189"/>
      <c r="H72" s="590"/>
      <c r="I72" s="591"/>
      <c r="J72" s="591"/>
      <c r="K72" s="591"/>
      <c r="L72" s="591"/>
      <c r="M72" s="591"/>
      <c r="N72" s="591"/>
      <c r="O72" s="591"/>
      <c r="P72" s="591"/>
      <c r="Q72" s="591"/>
      <c r="R72" s="591"/>
      <c r="S72" s="591"/>
      <c r="T72" s="591"/>
      <c r="U72" s="591"/>
      <c r="V72" s="591"/>
      <c r="W72" s="591"/>
      <c r="X72" s="591"/>
      <c r="Y72" s="592"/>
    </row>
    <row r="73" spans="1:25" ht="20.100000000000001" customHeight="1" x14ac:dyDescent="0.25">
      <c r="A73" s="550"/>
      <c r="B73" s="548"/>
      <c r="C73" s="585" t="s">
        <v>165</v>
      </c>
      <c r="D73" s="586"/>
      <c r="E73" s="194"/>
      <c r="F73" s="194"/>
      <c r="G73" s="191"/>
      <c r="H73" s="597"/>
      <c r="I73" s="598"/>
      <c r="J73" s="598"/>
      <c r="K73" s="598"/>
      <c r="L73" s="598"/>
      <c r="M73" s="598"/>
      <c r="N73" s="598"/>
      <c r="O73" s="598"/>
      <c r="P73" s="598"/>
      <c r="Q73" s="598"/>
      <c r="R73" s="598"/>
      <c r="S73" s="598"/>
      <c r="T73" s="598"/>
      <c r="U73" s="598"/>
      <c r="V73" s="598"/>
      <c r="W73" s="598"/>
      <c r="X73" s="598"/>
      <c r="Y73" s="599"/>
    </row>
    <row r="74" spans="1:25" ht="9.9499999999999993" customHeight="1" x14ac:dyDescent="0.25">
      <c r="A74" s="551"/>
      <c r="B74" s="548"/>
      <c r="C74" s="183"/>
      <c r="D74" s="183"/>
      <c r="E74" s="183"/>
      <c r="F74" s="183"/>
      <c r="G74" s="190"/>
      <c r="H74" s="593"/>
      <c r="I74" s="594"/>
      <c r="J74" s="594"/>
      <c r="K74" s="594"/>
      <c r="L74" s="594"/>
      <c r="M74" s="594"/>
      <c r="N74" s="594"/>
      <c r="O74" s="594"/>
      <c r="P74" s="594"/>
      <c r="Q74" s="594"/>
      <c r="R74" s="594"/>
      <c r="S74" s="594"/>
      <c r="T74" s="594"/>
      <c r="U74" s="594"/>
      <c r="V74" s="594"/>
      <c r="W74" s="594"/>
      <c r="X74" s="594"/>
      <c r="Y74" s="595"/>
    </row>
    <row r="75" spans="1:25" ht="9.9499999999999993" customHeight="1" x14ac:dyDescent="0.25">
      <c r="A75" s="549">
        <f t="shared" si="8"/>
        <v>23</v>
      </c>
      <c r="B75" s="548"/>
      <c r="C75" s="188"/>
      <c r="D75" s="188"/>
      <c r="E75" s="188"/>
      <c r="F75" s="188"/>
      <c r="G75" s="189"/>
      <c r="H75" s="590"/>
      <c r="I75" s="591"/>
      <c r="J75" s="591"/>
      <c r="K75" s="591"/>
      <c r="L75" s="591"/>
      <c r="M75" s="591"/>
      <c r="N75" s="591"/>
      <c r="O75" s="591"/>
      <c r="P75" s="591"/>
      <c r="Q75" s="591"/>
      <c r="R75" s="591"/>
      <c r="S75" s="591"/>
      <c r="T75" s="591"/>
      <c r="U75" s="591"/>
      <c r="V75" s="591"/>
      <c r="W75" s="591"/>
      <c r="X75" s="591"/>
      <c r="Y75" s="592"/>
    </row>
    <row r="76" spans="1:25" ht="20.100000000000001" customHeight="1" x14ac:dyDescent="0.25">
      <c r="A76" s="550"/>
      <c r="B76" s="548"/>
      <c r="C76" s="585" t="s">
        <v>165</v>
      </c>
      <c r="D76" s="586"/>
      <c r="E76" s="194"/>
      <c r="F76" s="194"/>
      <c r="G76" s="191"/>
      <c r="H76" s="597"/>
      <c r="I76" s="598"/>
      <c r="J76" s="598"/>
      <c r="K76" s="598"/>
      <c r="L76" s="598"/>
      <c r="M76" s="598"/>
      <c r="N76" s="598"/>
      <c r="O76" s="598"/>
      <c r="P76" s="598"/>
      <c r="Q76" s="598"/>
      <c r="R76" s="598"/>
      <c r="S76" s="598"/>
      <c r="T76" s="598"/>
      <c r="U76" s="598"/>
      <c r="V76" s="598"/>
      <c r="W76" s="598"/>
      <c r="X76" s="598"/>
      <c r="Y76" s="599"/>
    </row>
    <row r="77" spans="1:25" ht="9.9499999999999993" customHeight="1" x14ac:dyDescent="0.25">
      <c r="A77" s="551"/>
      <c r="B77" s="548"/>
      <c r="C77" s="183"/>
      <c r="D77" s="183"/>
      <c r="E77" s="183"/>
      <c r="F77" s="183"/>
      <c r="G77" s="190"/>
      <c r="H77" s="593"/>
      <c r="I77" s="594"/>
      <c r="J77" s="594"/>
      <c r="K77" s="594"/>
      <c r="L77" s="594"/>
      <c r="M77" s="594"/>
      <c r="N77" s="594"/>
      <c r="O77" s="594"/>
      <c r="P77" s="594"/>
      <c r="Q77" s="594"/>
      <c r="R77" s="594"/>
      <c r="S77" s="594"/>
      <c r="T77" s="594"/>
      <c r="U77" s="594"/>
      <c r="V77" s="594"/>
      <c r="W77" s="594"/>
      <c r="X77" s="594"/>
      <c r="Y77" s="595"/>
    </row>
    <row r="78" spans="1:25" ht="9.9499999999999993" customHeight="1" x14ac:dyDescent="0.25">
      <c r="A78" s="549">
        <f t="shared" si="8"/>
        <v>24</v>
      </c>
      <c r="B78" s="548"/>
      <c r="C78" s="188"/>
      <c r="D78" s="188"/>
      <c r="E78" s="188"/>
      <c r="F78" s="188"/>
      <c r="G78" s="189"/>
      <c r="H78" s="590"/>
      <c r="I78" s="591"/>
      <c r="J78" s="591"/>
      <c r="K78" s="591"/>
      <c r="L78" s="591"/>
      <c r="M78" s="591"/>
      <c r="N78" s="591"/>
      <c r="O78" s="591"/>
      <c r="P78" s="591"/>
      <c r="Q78" s="591"/>
      <c r="R78" s="591"/>
      <c r="S78" s="591"/>
      <c r="T78" s="591"/>
      <c r="U78" s="591"/>
      <c r="V78" s="591"/>
      <c r="W78" s="591"/>
      <c r="X78" s="591"/>
      <c r="Y78" s="592"/>
    </row>
    <row r="79" spans="1:25" ht="20.100000000000001" customHeight="1" x14ac:dyDescent="0.25">
      <c r="A79" s="550"/>
      <c r="B79" s="548"/>
      <c r="C79" s="585" t="s">
        <v>165</v>
      </c>
      <c r="D79" s="586"/>
      <c r="E79" s="194"/>
      <c r="F79" s="194"/>
      <c r="G79" s="191"/>
      <c r="H79" s="597"/>
      <c r="I79" s="598"/>
      <c r="J79" s="598"/>
      <c r="K79" s="598"/>
      <c r="L79" s="598"/>
      <c r="M79" s="598"/>
      <c r="N79" s="598"/>
      <c r="O79" s="598"/>
      <c r="P79" s="598"/>
      <c r="Q79" s="598"/>
      <c r="R79" s="598"/>
      <c r="S79" s="598"/>
      <c r="T79" s="598"/>
      <c r="U79" s="598"/>
      <c r="V79" s="598"/>
      <c r="W79" s="598"/>
      <c r="X79" s="598"/>
      <c r="Y79" s="599"/>
    </row>
    <row r="80" spans="1:25" ht="9.9499999999999993" customHeight="1" x14ac:dyDescent="0.25">
      <c r="A80" s="551"/>
      <c r="B80" s="548"/>
      <c r="C80" s="183"/>
      <c r="D80" s="183"/>
      <c r="E80" s="183"/>
      <c r="F80" s="183"/>
      <c r="G80" s="190"/>
      <c r="H80" s="593"/>
      <c r="I80" s="594"/>
      <c r="J80" s="594"/>
      <c r="K80" s="594"/>
      <c r="L80" s="594"/>
      <c r="M80" s="594"/>
      <c r="N80" s="594"/>
      <c r="O80" s="594"/>
      <c r="P80" s="594"/>
      <c r="Q80" s="594"/>
      <c r="R80" s="594"/>
      <c r="S80" s="594"/>
      <c r="T80" s="594"/>
      <c r="U80" s="594"/>
      <c r="V80" s="594"/>
      <c r="W80" s="594"/>
      <c r="X80" s="594"/>
      <c r="Y80" s="595"/>
    </row>
    <row r="81" spans="1:25" ht="9.9499999999999993" customHeight="1" x14ac:dyDescent="0.25">
      <c r="A81" s="549">
        <f t="shared" si="8"/>
        <v>25</v>
      </c>
      <c r="B81" s="548"/>
      <c r="C81" s="188"/>
      <c r="D81" s="188"/>
      <c r="E81" s="188"/>
      <c r="F81" s="188"/>
      <c r="G81" s="189"/>
      <c r="H81" s="590"/>
      <c r="I81" s="591"/>
      <c r="J81" s="591"/>
      <c r="K81" s="591"/>
      <c r="L81" s="591"/>
      <c r="M81" s="591"/>
      <c r="N81" s="591"/>
      <c r="O81" s="591"/>
      <c r="P81" s="591"/>
      <c r="Q81" s="591"/>
      <c r="R81" s="591"/>
      <c r="S81" s="591"/>
      <c r="T81" s="591"/>
      <c r="U81" s="591"/>
      <c r="V81" s="591"/>
      <c r="W81" s="591"/>
      <c r="X81" s="591"/>
      <c r="Y81" s="592"/>
    </row>
    <row r="82" spans="1:25" ht="20.100000000000001" customHeight="1" x14ac:dyDescent="0.25">
      <c r="A82" s="550"/>
      <c r="B82" s="548"/>
      <c r="C82" s="585" t="s">
        <v>165</v>
      </c>
      <c r="D82" s="586"/>
      <c r="E82" s="194"/>
      <c r="F82" s="194"/>
      <c r="G82" s="191"/>
      <c r="H82" s="597"/>
      <c r="I82" s="598"/>
      <c r="J82" s="598"/>
      <c r="K82" s="598"/>
      <c r="L82" s="598"/>
      <c r="M82" s="598"/>
      <c r="N82" s="598"/>
      <c r="O82" s="598"/>
      <c r="P82" s="598"/>
      <c r="Q82" s="598"/>
      <c r="R82" s="598"/>
      <c r="S82" s="598"/>
      <c r="T82" s="598"/>
      <c r="U82" s="598"/>
      <c r="V82" s="598"/>
      <c r="W82" s="598"/>
      <c r="X82" s="598"/>
      <c r="Y82" s="599"/>
    </row>
    <row r="83" spans="1:25" ht="9.9499999999999993" customHeight="1" x14ac:dyDescent="0.25">
      <c r="A83" s="551"/>
      <c r="B83" s="548"/>
      <c r="C83" s="183"/>
      <c r="D83" s="183"/>
      <c r="E83" s="183"/>
      <c r="F83" s="183"/>
      <c r="G83" s="190"/>
      <c r="H83" s="593"/>
      <c r="I83" s="594"/>
      <c r="J83" s="594"/>
      <c r="K83" s="594"/>
      <c r="L83" s="594"/>
      <c r="M83" s="594"/>
      <c r="N83" s="594"/>
      <c r="O83" s="594"/>
      <c r="P83" s="594"/>
      <c r="Q83" s="594"/>
      <c r="R83" s="594"/>
      <c r="S83" s="594"/>
      <c r="T83" s="594"/>
      <c r="U83" s="594"/>
      <c r="V83" s="594"/>
      <c r="W83" s="594"/>
      <c r="X83" s="594"/>
      <c r="Y83" s="595"/>
    </row>
    <row r="84" spans="1:25" ht="9.9499999999999993" customHeight="1" x14ac:dyDescent="0.25">
      <c r="A84" s="549">
        <f t="shared" si="8"/>
        <v>26</v>
      </c>
      <c r="B84" s="548"/>
      <c r="C84" s="188"/>
      <c r="D84" s="188"/>
      <c r="E84" s="188"/>
      <c r="F84" s="188"/>
      <c r="G84" s="189"/>
      <c r="H84" s="590"/>
      <c r="I84" s="591"/>
      <c r="J84" s="591"/>
      <c r="K84" s="591"/>
      <c r="L84" s="591"/>
      <c r="M84" s="591"/>
      <c r="N84" s="591"/>
      <c r="O84" s="591"/>
      <c r="P84" s="591"/>
      <c r="Q84" s="591"/>
      <c r="R84" s="591"/>
      <c r="S84" s="591"/>
      <c r="T84" s="591"/>
      <c r="U84" s="591"/>
      <c r="V84" s="591"/>
      <c r="W84" s="591"/>
      <c r="X84" s="591"/>
      <c r="Y84" s="592"/>
    </row>
    <row r="85" spans="1:25" ht="20.100000000000001" customHeight="1" x14ac:dyDescent="0.25">
      <c r="A85" s="550"/>
      <c r="B85" s="548"/>
      <c r="C85" s="585" t="s">
        <v>165</v>
      </c>
      <c r="D85" s="586"/>
      <c r="E85" s="194"/>
      <c r="F85" s="194"/>
      <c r="G85" s="191"/>
      <c r="H85" s="597"/>
      <c r="I85" s="598"/>
      <c r="J85" s="598"/>
      <c r="K85" s="598"/>
      <c r="L85" s="598"/>
      <c r="M85" s="598"/>
      <c r="N85" s="598"/>
      <c r="O85" s="598"/>
      <c r="P85" s="598"/>
      <c r="Q85" s="598"/>
      <c r="R85" s="598"/>
      <c r="S85" s="598"/>
      <c r="T85" s="598"/>
      <c r="U85" s="598"/>
      <c r="V85" s="598"/>
      <c r="W85" s="598"/>
      <c r="X85" s="598"/>
      <c r="Y85" s="599"/>
    </row>
    <row r="86" spans="1:25" ht="9.9499999999999993" customHeight="1" x14ac:dyDescent="0.25">
      <c r="A86" s="551"/>
      <c r="B86" s="548"/>
      <c r="C86" s="183"/>
      <c r="D86" s="183"/>
      <c r="E86" s="183"/>
      <c r="F86" s="183"/>
      <c r="G86" s="190"/>
      <c r="H86" s="593"/>
      <c r="I86" s="594"/>
      <c r="J86" s="594"/>
      <c r="K86" s="594"/>
      <c r="L86" s="594"/>
      <c r="M86" s="594"/>
      <c r="N86" s="594"/>
      <c r="O86" s="594"/>
      <c r="P86" s="594"/>
      <c r="Q86" s="594"/>
      <c r="R86" s="594"/>
      <c r="S86" s="594"/>
      <c r="T86" s="594"/>
      <c r="U86" s="594"/>
      <c r="V86" s="594"/>
      <c r="W86" s="594"/>
      <c r="X86" s="594"/>
      <c r="Y86" s="595"/>
    </row>
    <row r="87" spans="1:25" ht="9.9499999999999993" customHeight="1" x14ac:dyDescent="0.25">
      <c r="A87" s="549">
        <f t="shared" si="8"/>
        <v>27</v>
      </c>
      <c r="B87" s="548"/>
      <c r="C87" s="188"/>
      <c r="D87" s="188"/>
      <c r="E87" s="188"/>
      <c r="F87" s="188"/>
      <c r="G87" s="189"/>
      <c r="H87" s="590"/>
      <c r="I87" s="591"/>
      <c r="J87" s="591"/>
      <c r="K87" s="591"/>
      <c r="L87" s="591"/>
      <c r="M87" s="591"/>
      <c r="N87" s="591"/>
      <c r="O87" s="591"/>
      <c r="P87" s="591"/>
      <c r="Q87" s="591"/>
      <c r="R87" s="591"/>
      <c r="S87" s="591"/>
      <c r="T87" s="591"/>
      <c r="U87" s="591"/>
      <c r="V87" s="591"/>
      <c r="W87" s="591"/>
      <c r="X87" s="591"/>
      <c r="Y87" s="592"/>
    </row>
    <row r="88" spans="1:25" ht="20.100000000000001" customHeight="1" x14ac:dyDescent="0.25">
      <c r="A88" s="550"/>
      <c r="B88" s="548"/>
      <c r="C88" s="585" t="s">
        <v>165</v>
      </c>
      <c r="D88" s="586"/>
      <c r="E88" s="194"/>
      <c r="F88" s="194"/>
      <c r="G88" s="191"/>
      <c r="H88" s="597"/>
      <c r="I88" s="598"/>
      <c r="J88" s="598"/>
      <c r="K88" s="598"/>
      <c r="L88" s="598"/>
      <c r="M88" s="598"/>
      <c r="N88" s="598"/>
      <c r="O88" s="598"/>
      <c r="P88" s="598"/>
      <c r="Q88" s="598"/>
      <c r="R88" s="598"/>
      <c r="S88" s="598"/>
      <c r="T88" s="598"/>
      <c r="U88" s="598"/>
      <c r="V88" s="598"/>
      <c r="W88" s="598"/>
      <c r="X88" s="598"/>
      <c r="Y88" s="599"/>
    </row>
    <row r="89" spans="1:25" ht="9.9499999999999993" customHeight="1" x14ac:dyDescent="0.25">
      <c r="A89" s="551"/>
      <c r="B89" s="548"/>
      <c r="C89" s="183"/>
      <c r="D89" s="183"/>
      <c r="E89" s="183"/>
      <c r="F89" s="183"/>
      <c r="G89" s="190"/>
      <c r="H89" s="593"/>
      <c r="I89" s="594"/>
      <c r="J89" s="594"/>
      <c r="K89" s="594"/>
      <c r="L89" s="594"/>
      <c r="M89" s="594"/>
      <c r="N89" s="594"/>
      <c r="O89" s="594"/>
      <c r="P89" s="594"/>
      <c r="Q89" s="594"/>
      <c r="R89" s="594"/>
      <c r="S89" s="594"/>
      <c r="T89" s="594"/>
      <c r="U89" s="594"/>
      <c r="V89" s="594"/>
      <c r="W89" s="594"/>
      <c r="X89" s="594"/>
      <c r="Y89" s="595"/>
    </row>
    <row r="90" spans="1:25" ht="9.9499999999999993" customHeight="1" x14ac:dyDescent="0.25">
      <c r="A90" s="549">
        <f t="shared" si="8"/>
        <v>28</v>
      </c>
      <c r="B90" s="548"/>
      <c r="C90" s="188"/>
      <c r="D90" s="188"/>
      <c r="E90" s="188"/>
      <c r="F90" s="188"/>
      <c r="G90" s="189"/>
      <c r="H90" s="590"/>
      <c r="I90" s="591"/>
      <c r="J90" s="591"/>
      <c r="K90" s="591"/>
      <c r="L90" s="591"/>
      <c r="M90" s="591"/>
      <c r="N90" s="591"/>
      <c r="O90" s="591"/>
      <c r="P90" s="591"/>
      <c r="Q90" s="591"/>
      <c r="R90" s="591"/>
      <c r="S90" s="591"/>
      <c r="T90" s="591"/>
      <c r="U90" s="591"/>
      <c r="V90" s="591"/>
      <c r="W90" s="591"/>
      <c r="X90" s="591"/>
      <c r="Y90" s="592"/>
    </row>
    <row r="91" spans="1:25" ht="20.100000000000001" customHeight="1" x14ac:dyDescent="0.25">
      <c r="A91" s="550"/>
      <c r="B91" s="548"/>
      <c r="C91" s="585" t="s">
        <v>165</v>
      </c>
      <c r="D91" s="586"/>
      <c r="E91" s="194"/>
      <c r="F91" s="194"/>
      <c r="G91" s="191"/>
      <c r="H91" s="597"/>
      <c r="I91" s="598"/>
      <c r="J91" s="598"/>
      <c r="K91" s="598"/>
      <c r="L91" s="598"/>
      <c r="M91" s="598"/>
      <c r="N91" s="598"/>
      <c r="O91" s="598"/>
      <c r="P91" s="598"/>
      <c r="Q91" s="598"/>
      <c r="R91" s="598"/>
      <c r="S91" s="598"/>
      <c r="T91" s="598"/>
      <c r="U91" s="598"/>
      <c r="V91" s="598"/>
      <c r="W91" s="598"/>
      <c r="X91" s="598"/>
      <c r="Y91" s="599"/>
    </row>
    <row r="92" spans="1:25" ht="9.9499999999999993" customHeight="1" x14ac:dyDescent="0.25">
      <c r="A92" s="551"/>
      <c r="B92" s="548"/>
      <c r="C92" s="183"/>
      <c r="D92" s="183"/>
      <c r="E92" s="183"/>
      <c r="F92" s="183"/>
      <c r="G92" s="190"/>
      <c r="H92" s="593"/>
      <c r="I92" s="594"/>
      <c r="J92" s="594"/>
      <c r="K92" s="594"/>
      <c r="L92" s="594"/>
      <c r="M92" s="594"/>
      <c r="N92" s="594"/>
      <c r="O92" s="594"/>
      <c r="P92" s="594"/>
      <c r="Q92" s="594"/>
      <c r="R92" s="594"/>
      <c r="S92" s="594"/>
      <c r="T92" s="594"/>
      <c r="U92" s="594"/>
      <c r="V92" s="594"/>
      <c r="W92" s="594"/>
      <c r="X92" s="594"/>
      <c r="Y92" s="595"/>
    </row>
    <row r="93" spans="1:25" ht="9.9499999999999993" customHeight="1" x14ac:dyDescent="0.25">
      <c r="A93" s="549">
        <f t="shared" si="8"/>
        <v>29</v>
      </c>
      <c r="B93" s="548"/>
      <c r="C93" s="188"/>
      <c r="D93" s="188"/>
      <c r="E93" s="188"/>
      <c r="F93" s="188"/>
      <c r="G93" s="189"/>
      <c r="H93" s="590"/>
      <c r="I93" s="591"/>
      <c r="J93" s="591"/>
      <c r="K93" s="591"/>
      <c r="L93" s="591"/>
      <c r="M93" s="591"/>
      <c r="N93" s="591"/>
      <c r="O93" s="591"/>
      <c r="P93" s="591"/>
      <c r="Q93" s="591"/>
      <c r="R93" s="591"/>
      <c r="S93" s="591"/>
      <c r="T93" s="591"/>
      <c r="U93" s="591"/>
      <c r="V93" s="591"/>
      <c r="W93" s="591"/>
      <c r="X93" s="591"/>
      <c r="Y93" s="592"/>
    </row>
    <row r="94" spans="1:25" ht="20.100000000000001" customHeight="1" x14ac:dyDescent="0.25">
      <c r="A94" s="550"/>
      <c r="B94" s="548"/>
      <c r="C94" s="585" t="s">
        <v>165</v>
      </c>
      <c r="D94" s="586"/>
      <c r="E94" s="194"/>
      <c r="F94" s="194"/>
      <c r="G94" s="191"/>
      <c r="H94" s="597"/>
      <c r="I94" s="598"/>
      <c r="J94" s="598"/>
      <c r="K94" s="598"/>
      <c r="L94" s="598"/>
      <c r="M94" s="598"/>
      <c r="N94" s="598"/>
      <c r="O94" s="598"/>
      <c r="P94" s="598"/>
      <c r="Q94" s="598"/>
      <c r="R94" s="598"/>
      <c r="S94" s="598"/>
      <c r="T94" s="598"/>
      <c r="U94" s="598"/>
      <c r="V94" s="598"/>
      <c r="W94" s="598"/>
      <c r="X94" s="598"/>
      <c r="Y94" s="599"/>
    </row>
    <row r="95" spans="1:25" ht="9.9499999999999993" customHeight="1" x14ac:dyDescent="0.25">
      <c r="A95" s="551"/>
      <c r="B95" s="548"/>
      <c r="C95" s="183"/>
      <c r="D95" s="183"/>
      <c r="E95" s="183"/>
      <c r="F95" s="183"/>
      <c r="G95" s="190"/>
      <c r="H95" s="593"/>
      <c r="I95" s="594"/>
      <c r="J95" s="594"/>
      <c r="K95" s="594"/>
      <c r="L95" s="594"/>
      <c r="M95" s="594"/>
      <c r="N95" s="594"/>
      <c r="O95" s="594"/>
      <c r="P95" s="594"/>
      <c r="Q95" s="594"/>
      <c r="R95" s="594"/>
      <c r="S95" s="594"/>
      <c r="T95" s="594"/>
      <c r="U95" s="594"/>
      <c r="V95" s="594"/>
      <c r="W95" s="594"/>
      <c r="X95" s="594"/>
      <c r="Y95" s="595"/>
    </row>
    <row r="96" spans="1:25" ht="9.9499999999999993" customHeight="1" x14ac:dyDescent="0.25">
      <c r="A96" s="549">
        <f t="shared" si="8"/>
        <v>30</v>
      </c>
      <c r="B96" s="548"/>
      <c r="C96" s="188"/>
      <c r="D96" s="188"/>
      <c r="E96" s="188"/>
      <c r="F96" s="188"/>
      <c r="G96" s="189"/>
      <c r="H96" s="590"/>
      <c r="I96" s="591"/>
      <c r="J96" s="591"/>
      <c r="K96" s="591"/>
      <c r="L96" s="591"/>
      <c r="M96" s="591"/>
      <c r="N96" s="591"/>
      <c r="O96" s="591"/>
      <c r="P96" s="591"/>
      <c r="Q96" s="591"/>
      <c r="R96" s="591"/>
      <c r="S96" s="591"/>
      <c r="T96" s="591"/>
      <c r="U96" s="591"/>
      <c r="V96" s="591"/>
      <c r="W96" s="591"/>
      <c r="X96" s="591"/>
      <c r="Y96" s="592"/>
    </row>
    <row r="97" spans="1:25" ht="20.100000000000001" customHeight="1" x14ac:dyDescent="0.25">
      <c r="A97" s="550"/>
      <c r="B97" s="548"/>
      <c r="C97" s="585" t="s">
        <v>165</v>
      </c>
      <c r="D97" s="586"/>
      <c r="E97" s="194"/>
      <c r="F97" s="194"/>
      <c r="G97" s="191"/>
      <c r="H97" s="597"/>
      <c r="I97" s="598"/>
      <c r="J97" s="598"/>
      <c r="K97" s="598"/>
      <c r="L97" s="598"/>
      <c r="M97" s="598"/>
      <c r="N97" s="598"/>
      <c r="O97" s="598"/>
      <c r="P97" s="598"/>
      <c r="Q97" s="598"/>
      <c r="R97" s="598"/>
      <c r="S97" s="598"/>
      <c r="T97" s="598"/>
      <c r="U97" s="598"/>
      <c r="V97" s="598"/>
      <c r="W97" s="598"/>
      <c r="X97" s="598"/>
      <c r="Y97" s="599"/>
    </row>
    <row r="98" spans="1:25" ht="9.9499999999999993" customHeight="1" x14ac:dyDescent="0.25">
      <c r="A98" s="551"/>
      <c r="B98" s="548"/>
      <c r="C98" s="183"/>
      <c r="D98" s="183"/>
      <c r="E98" s="183"/>
      <c r="F98" s="183"/>
      <c r="G98" s="190"/>
      <c r="H98" s="593"/>
      <c r="I98" s="594"/>
      <c r="J98" s="594"/>
      <c r="K98" s="594"/>
      <c r="L98" s="594"/>
      <c r="M98" s="594"/>
      <c r="N98" s="594"/>
      <c r="O98" s="594"/>
      <c r="P98" s="594"/>
      <c r="Q98" s="594"/>
      <c r="R98" s="594"/>
      <c r="S98" s="594"/>
      <c r="T98" s="594"/>
      <c r="U98" s="594"/>
      <c r="V98" s="594"/>
      <c r="W98" s="594"/>
      <c r="X98" s="594"/>
      <c r="Y98" s="595"/>
    </row>
    <row r="99" spans="1:25" ht="9.9499999999999993" customHeight="1" x14ac:dyDescent="0.25">
      <c r="A99" s="549">
        <f t="shared" ref="A99:A126" si="9">1+A96</f>
        <v>31</v>
      </c>
      <c r="B99" s="548"/>
      <c r="C99" s="188"/>
      <c r="D99" s="188"/>
      <c r="E99" s="188"/>
      <c r="F99" s="188"/>
      <c r="G99" s="189"/>
      <c r="H99" s="590"/>
      <c r="I99" s="591"/>
      <c r="J99" s="591"/>
      <c r="K99" s="591"/>
      <c r="L99" s="591"/>
      <c r="M99" s="591"/>
      <c r="N99" s="591"/>
      <c r="O99" s="591"/>
      <c r="P99" s="591"/>
      <c r="Q99" s="591"/>
      <c r="R99" s="591"/>
      <c r="S99" s="591"/>
      <c r="T99" s="591"/>
      <c r="U99" s="591"/>
      <c r="V99" s="591"/>
      <c r="W99" s="591"/>
      <c r="X99" s="591"/>
      <c r="Y99" s="592"/>
    </row>
    <row r="100" spans="1:25" ht="20.100000000000001" customHeight="1" x14ac:dyDescent="0.25">
      <c r="A100" s="550"/>
      <c r="B100" s="548"/>
      <c r="C100" s="585" t="s">
        <v>165</v>
      </c>
      <c r="D100" s="586"/>
      <c r="E100" s="194"/>
      <c r="F100" s="194"/>
      <c r="G100" s="191"/>
      <c r="H100" s="597"/>
      <c r="I100" s="598"/>
      <c r="J100" s="598"/>
      <c r="K100" s="598"/>
      <c r="L100" s="598"/>
      <c r="M100" s="598"/>
      <c r="N100" s="598"/>
      <c r="O100" s="598"/>
      <c r="P100" s="598"/>
      <c r="Q100" s="598"/>
      <c r="R100" s="598"/>
      <c r="S100" s="598"/>
      <c r="T100" s="598"/>
      <c r="U100" s="598"/>
      <c r="V100" s="598"/>
      <c r="W100" s="598"/>
      <c r="X100" s="598"/>
      <c r="Y100" s="599"/>
    </row>
    <row r="101" spans="1:25" ht="9.9499999999999993" customHeight="1" x14ac:dyDescent="0.25">
      <c r="A101" s="551"/>
      <c r="B101" s="548"/>
      <c r="C101" s="183"/>
      <c r="D101" s="183"/>
      <c r="E101" s="183"/>
      <c r="F101" s="183"/>
      <c r="G101" s="190"/>
      <c r="H101" s="593"/>
      <c r="I101" s="594"/>
      <c r="J101" s="594"/>
      <c r="K101" s="594"/>
      <c r="L101" s="594"/>
      <c r="M101" s="594"/>
      <c r="N101" s="594"/>
      <c r="O101" s="594"/>
      <c r="P101" s="594"/>
      <c r="Q101" s="594"/>
      <c r="R101" s="594"/>
      <c r="S101" s="594"/>
      <c r="T101" s="594"/>
      <c r="U101" s="594"/>
      <c r="V101" s="594"/>
      <c r="W101" s="594"/>
      <c r="X101" s="594"/>
      <c r="Y101" s="595"/>
    </row>
    <row r="102" spans="1:25" ht="9.9499999999999993" customHeight="1" x14ac:dyDescent="0.25">
      <c r="A102" s="549">
        <f t="shared" si="9"/>
        <v>32</v>
      </c>
      <c r="B102" s="548"/>
      <c r="C102" s="188"/>
      <c r="D102" s="188"/>
      <c r="E102" s="188"/>
      <c r="F102" s="188"/>
      <c r="G102" s="189"/>
      <c r="H102" s="590"/>
      <c r="I102" s="591"/>
      <c r="J102" s="591"/>
      <c r="K102" s="591"/>
      <c r="L102" s="591"/>
      <c r="M102" s="591"/>
      <c r="N102" s="591"/>
      <c r="O102" s="591"/>
      <c r="P102" s="591"/>
      <c r="Q102" s="591"/>
      <c r="R102" s="591"/>
      <c r="S102" s="591"/>
      <c r="T102" s="591"/>
      <c r="U102" s="591"/>
      <c r="V102" s="591"/>
      <c r="W102" s="591"/>
      <c r="X102" s="591"/>
      <c r="Y102" s="592"/>
    </row>
    <row r="103" spans="1:25" ht="20.100000000000001" customHeight="1" x14ac:dyDescent="0.25">
      <c r="A103" s="550"/>
      <c r="B103" s="548"/>
      <c r="C103" s="585" t="s">
        <v>165</v>
      </c>
      <c r="D103" s="586"/>
      <c r="E103" s="194"/>
      <c r="F103" s="194"/>
      <c r="G103" s="191"/>
      <c r="H103" s="597"/>
      <c r="I103" s="598"/>
      <c r="J103" s="598"/>
      <c r="K103" s="598"/>
      <c r="L103" s="598"/>
      <c r="M103" s="598"/>
      <c r="N103" s="598"/>
      <c r="O103" s="598"/>
      <c r="P103" s="598"/>
      <c r="Q103" s="598"/>
      <c r="R103" s="598"/>
      <c r="S103" s="598"/>
      <c r="T103" s="598"/>
      <c r="U103" s="598"/>
      <c r="V103" s="598"/>
      <c r="W103" s="598"/>
      <c r="X103" s="598"/>
      <c r="Y103" s="599"/>
    </row>
    <row r="104" spans="1:25" ht="9.9499999999999993" customHeight="1" x14ac:dyDescent="0.25">
      <c r="A104" s="551"/>
      <c r="B104" s="548"/>
      <c r="C104" s="183"/>
      <c r="D104" s="183"/>
      <c r="E104" s="183"/>
      <c r="F104" s="183"/>
      <c r="G104" s="190"/>
      <c r="H104" s="593"/>
      <c r="I104" s="594"/>
      <c r="J104" s="594"/>
      <c r="K104" s="594"/>
      <c r="L104" s="594"/>
      <c r="M104" s="594"/>
      <c r="N104" s="594"/>
      <c r="O104" s="594"/>
      <c r="P104" s="594"/>
      <c r="Q104" s="594"/>
      <c r="R104" s="594"/>
      <c r="S104" s="594"/>
      <c r="T104" s="594"/>
      <c r="U104" s="594"/>
      <c r="V104" s="594"/>
      <c r="W104" s="594"/>
      <c r="X104" s="594"/>
      <c r="Y104" s="595"/>
    </row>
    <row r="105" spans="1:25" ht="9.9499999999999993" customHeight="1" x14ac:dyDescent="0.25">
      <c r="A105" s="549">
        <f t="shared" si="9"/>
        <v>33</v>
      </c>
      <c r="B105" s="548"/>
      <c r="C105" s="188"/>
      <c r="D105" s="188"/>
      <c r="E105" s="188"/>
      <c r="F105" s="188"/>
      <c r="G105" s="189"/>
      <c r="H105" s="590"/>
      <c r="I105" s="591"/>
      <c r="J105" s="591"/>
      <c r="K105" s="591"/>
      <c r="L105" s="591"/>
      <c r="M105" s="591"/>
      <c r="N105" s="591"/>
      <c r="O105" s="591"/>
      <c r="P105" s="591"/>
      <c r="Q105" s="591"/>
      <c r="R105" s="591"/>
      <c r="S105" s="591"/>
      <c r="T105" s="591"/>
      <c r="U105" s="591"/>
      <c r="V105" s="591"/>
      <c r="W105" s="591"/>
      <c r="X105" s="591"/>
      <c r="Y105" s="592"/>
    </row>
    <row r="106" spans="1:25" ht="20.100000000000001" customHeight="1" x14ac:dyDescent="0.25">
      <c r="A106" s="550"/>
      <c r="B106" s="548"/>
      <c r="C106" s="585" t="s">
        <v>165</v>
      </c>
      <c r="D106" s="586"/>
      <c r="E106" s="194"/>
      <c r="F106" s="194"/>
      <c r="G106" s="191"/>
      <c r="H106" s="597"/>
      <c r="I106" s="598"/>
      <c r="J106" s="598"/>
      <c r="K106" s="598"/>
      <c r="L106" s="598"/>
      <c r="M106" s="598"/>
      <c r="N106" s="598"/>
      <c r="O106" s="598"/>
      <c r="P106" s="598"/>
      <c r="Q106" s="598"/>
      <c r="R106" s="598"/>
      <c r="S106" s="598"/>
      <c r="T106" s="598"/>
      <c r="U106" s="598"/>
      <c r="V106" s="598"/>
      <c r="W106" s="598"/>
      <c r="X106" s="598"/>
      <c r="Y106" s="599"/>
    </row>
    <row r="107" spans="1:25" ht="9.9499999999999993" customHeight="1" x14ac:dyDescent="0.25">
      <c r="A107" s="551"/>
      <c r="B107" s="548"/>
      <c r="C107" s="183"/>
      <c r="D107" s="183"/>
      <c r="E107" s="183"/>
      <c r="F107" s="183"/>
      <c r="G107" s="190"/>
      <c r="H107" s="593"/>
      <c r="I107" s="594"/>
      <c r="J107" s="594"/>
      <c r="K107" s="594"/>
      <c r="L107" s="594"/>
      <c r="M107" s="594"/>
      <c r="N107" s="594"/>
      <c r="O107" s="594"/>
      <c r="P107" s="594"/>
      <c r="Q107" s="594"/>
      <c r="R107" s="594"/>
      <c r="S107" s="594"/>
      <c r="T107" s="594"/>
      <c r="U107" s="594"/>
      <c r="V107" s="594"/>
      <c r="W107" s="594"/>
      <c r="X107" s="594"/>
      <c r="Y107" s="595"/>
    </row>
    <row r="108" spans="1:25" ht="9.9499999999999993" customHeight="1" x14ac:dyDescent="0.25">
      <c r="A108" s="549">
        <f t="shared" si="9"/>
        <v>34</v>
      </c>
      <c r="B108" s="548"/>
      <c r="C108" s="188"/>
      <c r="D108" s="188"/>
      <c r="E108" s="188"/>
      <c r="F108" s="188"/>
      <c r="G108" s="189"/>
      <c r="H108" s="590"/>
      <c r="I108" s="591"/>
      <c r="J108" s="591"/>
      <c r="K108" s="591"/>
      <c r="L108" s="591"/>
      <c r="M108" s="591"/>
      <c r="N108" s="591"/>
      <c r="O108" s="591"/>
      <c r="P108" s="591"/>
      <c r="Q108" s="591"/>
      <c r="R108" s="591"/>
      <c r="S108" s="591"/>
      <c r="T108" s="591"/>
      <c r="U108" s="591"/>
      <c r="V108" s="591"/>
      <c r="W108" s="591"/>
      <c r="X108" s="591"/>
      <c r="Y108" s="592"/>
    </row>
    <row r="109" spans="1:25" ht="20.100000000000001" customHeight="1" x14ac:dyDescent="0.25">
      <c r="A109" s="550"/>
      <c r="B109" s="548"/>
      <c r="C109" s="585" t="s">
        <v>165</v>
      </c>
      <c r="D109" s="586"/>
      <c r="E109" s="194"/>
      <c r="F109" s="194"/>
      <c r="G109" s="191"/>
      <c r="H109" s="597"/>
      <c r="I109" s="598"/>
      <c r="J109" s="598"/>
      <c r="K109" s="598"/>
      <c r="L109" s="598"/>
      <c r="M109" s="598"/>
      <c r="N109" s="598"/>
      <c r="O109" s="598"/>
      <c r="P109" s="598"/>
      <c r="Q109" s="598"/>
      <c r="R109" s="598"/>
      <c r="S109" s="598"/>
      <c r="T109" s="598"/>
      <c r="U109" s="598"/>
      <c r="V109" s="598"/>
      <c r="W109" s="598"/>
      <c r="X109" s="598"/>
      <c r="Y109" s="599"/>
    </row>
    <row r="110" spans="1:25" ht="9.9499999999999993" customHeight="1" x14ac:dyDescent="0.25">
      <c r="A110" s="551"/>
      <c r="B110" s="548"/>
      <c r="C110" s="183"/>
      <c r="D110" s="183"/>
      <c r="E110" s="183"/>
      <c r="F110" s="183"/>
      <c r="G110" s="190"/>
      <c r="H110" s="593"/>
      <c r="I110" s="594"/>
      <c r="J110" s="594"/>
      <c r="K110" s="594"/>
      <c r="L110" s="594"/>
      <c r="M110" s="594"/>
      <c r="N110" s="594"/>
      <c r="O110" s="594"/>
      <c r="P110" s="594"/>
      <c r="Q110" s="594"/>
      <c r="R110" s="594"/>
      <c r="S110" s="594"/>
      <c r="T110" s="594"/>
      <c r="U110" s="594"/>
      <c r="V110" s="594"/>
      <c r="W110" s="594"/>
      <c r="X110" s="594"/>
      <c r="Y110" s="595"/>
    </row>
    <row r="111" spans="1:25" ht="9.9499999999999993" customHeight="1" x14ac:dyDescent="0.25">
      <c r="A111" s="549">
        <f t="shared" si="9"/>
        <v>35</v>
      </c>
      <c r="B111" s="548"/>
      <c r="C111" s="188"/>
      <c r="D111" s="188"/>
      <c r="E111" s="188"/>
      <c r="F111" s="188"/>
      <c r="G111" s="189"/>
      <c r="H111" s="590"/>
      <c r="I111" s="591"/>
      <c r="J111" s="591"/>
      <c r="K111" s="591"/>
      <c r="L111" s="591"/>
      <c r="M111" s="591"/>
      <c r="N111" s="591"/>
      <c r="O111" s="591"/>
      <c r="P111" s="591"/>
      <c r="Q111" s="591"/>
      <c r="R111" s="591"/>
      <c r="S111" s="591"/>
      <c r="T111" s="591"/>
      <c r="U111" s="591"/>
      <c r="V111" s="591"/>
      <c r="W111" s="591"/>
      <c r="X111" s="591"/>
      <c r="Y111" s="592"/>
    </row>
    <row r="112" spans="1:25" ht="20.100000000000001" customHeight="1" x14ac:dyDescent="0.25">
      <c r="A112" s="550"/>
      <c r="B112" s="548"/>
      <c r="C112" s="585" t="s">
        <v>165</v>
      </c>
      <c r="D112" s="586"/>
      <c r="E112" s="194"/>
      <c r="F112" s="194"/>
      <c r="G112" s="191"/>
      <c r="H112" s="597"/>
      <c r="I112" s="598"/>
      <c r="J112" s="598"/>
      <c r="K112" s="598"/>
      <c r="L112" s="598"/>
      <c r="M112" s="598"/>
      <c r="N112" s="598"/>
      <c r="O112" s="598"/>
      <c r="P112" s="598"/>
      <c r="Q112" s="598"/>
      <c r="R112" s="598"/>
      <c r="S112" s="598"/>
      <c r="T112" s="598"/>
      <c r="U112" s="598"/>
      <c r="V112" s="598"/>
      <c r="W112" s="598"/>
      <c r="X112" s="598"/>
      <c r="Y112" s="599"/>
    </row>
    <row r="113" spans="1:25" ht="9.9499999999999993" customHeight="1" x14ac:dyDescent="0.25">
      <c r="A113" s="551"/>
      <c r="B113" s="548"/>
      <c r="C113" s="183"/>
      <c r="D113" s="183"/>
      <c r="E113" s="183"/>
      <c r="F113" s="183"/>
      <c r="G113" s="190"/>
      <c r="H113" s="593"/>
      <c r="I113" s="594"/>
      <c r="J113" s="594"/>
      <c r="K113" s="594"/>
      <c r="L113" s="594"/>
      <c r="M113" s="594"/>
      <c r="N113" s="594"/>
      <c r="O113" s="594"/>
      <c r="P113" s="594"/>
      <c r="Q113" s="594"/>
      <c r="R113" s="594"/>
      <c r="S113" s="594"/>
      <c r="T113" s="594"/>
      <c r="U113" s="594"/>
      <c r="V113" s="594"/>
      <c r="W113" s="594"/>
      <c r="X113" s="594"/>
      <c r="Y113" s="595"/>
    </row>
    <row r="114" spans="1:25" ht="9.9499999999999993" customHeight="1" x14ac:dyDescent="0.25">
      <c r="A114" s="549">
        <f t="shared" si="9"/>
        <v>36</v>
      </c>
      <c r="B114" s="548"/>
      <c r="C114" s="188"/>
      <c r="D114" s="188"/>
      <c r="E114" s="188"/>
      <c r="F114" s="188"/>
      <c r="G114" s="189"/>
      <c r="H114" s="590"/>
      <c r="I114" s="591"/>
      <c r="J114" s="591"/>
      <c r="K114" s="591"/>
      <c r="L114" s="591"/>
      <c r="M114" s="591"/>
      <c r="N114" s="591"/>
      <c r="O114" s="591"/>
      <c r="P114" s="591"/>
      <c r="Q114" s="591"/>
      <c r="R114" s="591"/>
      <c r="S114" s="591"/>
      <c r="T114" s="591"/>
      <c r="U114" s="591"/>
      <c r="V114" s="591"/>
      <c r="W114" s="591"/>
      <c r="X114" s="591"/>
      <c r="Y114" s="592"/>
    </row>
    <row r="115" spans="1:25" ht="20.100000000000001" customHeight="1" x14ac:dyDescent="0.25">
      <c r="A115" s="550"/>
      <c r="B115" s="548"/>
      <c r="C115" s="585" t="s">
        <v>165</v>
      </c>
      <c r="D115" s="586"/>
      <c r="E115" s="194"/>
      <c r="F115" s="194"/>
      <c r="G115" s="191"/>
      <c r="H115" s="597"/>
      <c r="I115" s="598"/>
      <c r="J115" s="598"/>
      <c r="K115" s="598"/>
      <c r="L115" s="598"/>
      <c r="M115" s="598"/>
      <c r="N115" s="598"/>
      <c r="O115" s="598"/>
      <c r="P115" s="598"/>
      <c r="Q115" s="598"/>
      <c r="R115" s="598"/>
      <c r="S115" s="598"/>
      <c r="T115" s="598"/>
      <c r="U115" s="598"/>
      <c r="V115" s="598"/>
      <c r="W115" s="598"/>
      <c r="X115" s="598"/>
      <c r="Y115" s="599"/>
    </row>
    <row r="116" spans="1:25" ht="9.9499999999999993" customHeight="1" x14ac:dyDescent="0.25">
      <c r="A116" s="551"/>
      <c r="B116" s="548"/>
      <c r="C116" s="183"/>
      <c r="D116" s="183"/>
      <c r="E116" s="183"/>
      <c r="F116" s="183"/>
      <c r="G116" s="190"/>
      <c r="H116" s="593"/>
      <c r="I116" s="594"/>
      <c r="J116" s="594"/>
      <c r="K116" s="594"/>
      <c r="L116" s="594"/>
      <c r="M116" s="594"/>
      <c r="N116" s="594"/>
      <c r="O116" s="594"/>
      <c r="P116" s="594"/>
      <c r="Q116" s="594"/>
      <c r="R116" s="594"/>
      <c r="S116" s="594"/>
      <c r="T116" s="594"/>
      <c r="U116" s="594"/>
      <c r="V116" s="594"/>
      <c r="W116" s="594"/>
      <c r="X116" s="594"/>
      <c r="Y116" s="595"/>
    </row>
    <row r="117" spans="1:25" ht="9.9499999999999993" customHeight="1" x14ac:dyDescent="0.25">
      <c r="A117" s="549">
        <f t="shared" si="9"/>
        <v>37</v>
      </c>
      <c r="B117" s="548"/>
      <c r="C117" s="188"/>
      <c r="D117" s="188"/>
      <c r="E117" s="188"/>
      <c r="F117" s="188"/>
      <c r="G117" s="189"/>
      <c r="H117" s="590"/>
      <c r="I117" s="591"/>
      <c r="J117" s="591"/>
      <c r="K117" s="591"/>
      <c r="L117" s="591"/>
      <c r="M117" s="591"/>
      <c r="N117" s="591"/>
      <c r="O117" s="591"/>
      <c r="P117" s="591"/>
      <c r="Q117" s="591"/>
      <c r="R117" s="591"/>
      <c r="S117" s="591"/>
      <c r="T117" s="591"/>
      <c r="U117" s="591"/>
      <c r="V117" s="591"/>
      <c r="W117" s="591"/>
      <c r="X117" s="591"/>
      <c r="Y117" s="592"/>
    </row>
    <row r="118" spans="1:25" ht="20.100000000000001" customHeight="1" x14ac:dyDescent="0.25">
      <c r="A118" s="550"/>
      <c r="B118" s="548"/>
      <c r="C118" s="585" t="s">
        <v>165</v>
      </c>
      <c r="D118" s="586"/>
      <c r="E118" s="194"/>
      <c r="F118" s="194"/>
      <c r="G118" s="191"/>
      <c r="H118" s="597"/>
      <c r="I118" s="598"/>
      <c r="J118" s="598"/>
      <c r="K118" s="598"/>
      <c r="L118" s="598"/>
      <c r="M118" s="598"/>
      <c r="N118" s="598"/>
      <c r="O118" s="598"/>
      <c r="P118" s="598"/>
      <c r="Q118" s="598"/>
      <c r="R118" s="598"/>
      <c r="S118" s="598"/>
      <c r="T118" s="598"/>
      <c r="U118" s="598"/>
      <c r="V118" s="598"/>
      <c r="W118" s="598"/>
      <c r="X118" s="598"/>
      <c r="Y118" s="599"/>
    </row>
    <row r="119" spans="1:25" ht="9.9499999999999993" customHeight="1" x14ac:dyDescent="0.25">
      <c r="A119" s="551"/>
      <c r="B119" s="548"/>
      <c r="C119" s="183"/>
      <c r="D119" s="183"/>
      <c r="E119" s="183"/>
      <c r="F119" s="183"/>
      <c r="G119" s="190"/>
      <c r="H119" s="593"/>
      <c r="I119" s="594"/>
      <c r="J119" s="594"/>
      <c r="K119" s="594"/>
      <c r="L119" s="594"/>
      <c r="M119" s="594"/>
      <c r="N119" s="594"/>
      <c r="O119" s="594"/>
      <c r="P119" s="594"/>
      <c r="Q119" s="594"/>
      <c r="R119" s="594"/>
      <c r="S119" s="594"/>
      <c r="T119" s="594"/>
      <c r="U119" s="594"/>
      <c r="V119" s="594"/>
      <c r="W119" s="594"/>
      <c r="X119" s="594"/>
      <c r="Y119" s="595"/>
    </row>
    <row r="120" spans="1:25" ht="9.9499999999999993" customHeight="1" x14ac:dyDescent="0.25">
      <c r="A120" s="549">
        <f t="shared" si="9"/>
        <v>38</v>
      </c>
      <c r="B120" s="548"/>
      <c r="C120" s="188"/>
      <c r="D120" s="188"/>
      <c r="E120" s="188"/>
      <c r="F120" s="188"/>
      <c r="G120" s="189"/>
      <c r="H120" s="590"/>
      <c r="I120" s="591"/>
      <c r="J120" s="591"/>
      <c r="K120" s="591"/>
      <c r="L120" s="591"/>
      <c r="M120" s="591"/>
      <c r="N120" s="591"/>
      <c r="O120" s="591"/>
      <c r="P120" s="591"/>
      <c r="Q120" s="591"/>
      <c r="R120" s="591"/>
      <c r="S120" s="591"/>
      <c r="T120" s="591"/>
      <c r="U120" s="591"/>
      <c r="V120" s="591"/>
      <c r="W120" s="591"/>
      <c r="X120" s="591"/>
      <c r="Y120" s="592"/>
    </row>
    <row r="121" spans="1:25" ht="20.100000000000001" customHeight="1" x14ac:dyDescent="0.25">
      <c r="A121" s="550"/>
      <c r="B121" s="548"/>
      <c r="C121" s="585" t="s">
        <v>165</v>
      </c>
      <c r="D121" s="586"/>
      <c r="E121" s="194"/>
      <c r="F121" s="194"/>
      <c r="G121" s="191"/>
      <c r="H121" s="597"/>
      <c r="I121" s="598"/>
      <c r="J121" s="598"/>
      <c r="K121" s="598"/>
      <c r="L121" s="598"/>
      <c r="M121" s="598"/>
      <c r="N121" s="598"/>
      <c r="O121" s="598"/>
      <c r="P121" s="598"/>
      <c r="Q121" s="598"/>
      <c r="R121" s="598"/>
      <c r="S121" s="598"/>
      <c r="T121" s="598"/>
      <c r="U121" s="598"/>
      <c r="V121" s="598"/>
      <c r="W121" s="598"/>
      <c r="X121" s="598"/>
      <c r="Y121" s="599"/>
    </row>
    <row r="122" spans="1:25" ht="9.9499999999999993" customHeight="1" x14ac:dyDescent="0.25">
      <c r="A122" s="551"/>
      <c r="B122" s="548"/>
      <c r="C122" s="183"/>
      <c r="D122" s="183"/>
      <c r="E122" s="183"/>
      <c r="F122" s="183"/>
      <c r="G122" s="190"/>
      <c r="H122" s="593"/>
      <c r="I122" s="594"/>
      <c r="J122" s="594"/>
      <c r="K122" s="594"/>
      <c r="L122" s="594"/>
      <c r="M122" s="594"/>
      <c r="N122" s="594"/>
      <c r="O122" s="594"/>
      <c r="P122" s="594"/>
      <c r="Q122" s="594"/>
      <c r="R122" s="594"/>
      <c r="S122" s="594"/>
      <c r="T122" s="594"/>
      <c r="U122" s="594"/>
      <c r="V122" s="594"/>
      <c r="W122" s="594"/>
      <c r="X122" s="594"/>
      <c r="Y122" s="595"/>
    </row>
    <row r="123" spans="1:25" ht="9.9499999999999993" customHeight="1" x14ac:dyDescent="0.25">
      <c r="A123" s="549">
        <f t="shared" si="9"/>
        <v>39</v>
      </c>
      <c r="B123" s="548"/>
      <c r="C123" s="188"/>
      <c r="D123" s="188"/>
      <c r="E123" s="188"/>
      <c r="F123" s="188"/>
      <c r="G123" s="189"/>
      <c r="H123" s="590"/>
      <c r="I123" s="591"/>
      <c r="J123" s="591"/>
      <c r="K123" s="591"/>
      <c r="L123" s="591"/>
      <c r="M123" s="591"/>
      <c r="N123" s="591"/>
      <c r="O123" s="591"/>
      <c r="P123" s="591"/>
      <c r="Q123" s="591"/>
      <c r="R123" s="591"/>
      <c r="S123" s="591"/>
      <c r="T123" s="591"/>
      <c r="U123" s="591"/>
      <c r="V123" s="591"/>
      <c r="W123" s="591"/>
      <c r="X123" s="591"/>
      <c r="Y123" s="592"/>
    </row>
    <row r="124" spans="1:25" ht="20.100000000000001" customHeight="1" x14ac:dyDescent="0.25">
      <c r="A124" s="550"/>
      <c r="B124" s="548"/>
      <c r="C124" s="585" t="s">
        <v>165</v>
      </c>
      <c r="D124" s="586"/>
      <c r="E124" s="194"/>
      <c r="F124" s="194"/>
      <c r="G124" s="191"/>
      <c r="H124" s="597"/>
      <c r="I124" s="598"/>
      <c r="J124" s="598"/>
      <c r="K124" s="598"/>
      <c r="L124" s="598"/>
      <c r="M124" s="598"/>
      <c r="N124" s="598"/>
      <c r="O124" s="598"/>
      <c r="P124" s="598"/>
      <c r="Q124" s="598"/>
      <c r="R124" s="598"/>
      <c r="S124" s="598"/>
      <c r="T124" s="598"/>
      <c r="U124" s="598"/>
      <c r="V124" s="598"/>
      <c r="W124" s="598"/>
      <c r="X124" s="598"/>
      <c r="Y124" s="599"/>
    </row>
    <row r="125" spans="1:25" ht="9.9499999999999993" customHeight="1" x14ac:dyDescent="0.25">
      <c r="A125" s="551"/>
      <c r="B125" s="548"/>
      <c r="C125" s="183"/>
      <c r="D125" s="183"/>
      <c r="E125" s="183"/>
      <c r="F125" s="183"/>
      <c r="G125" s="190"/>
      <c r="H125" s="593"/>
      <c r="I125" s="594"/>
      <c r="J125" s="594"/>
      <c r="K125" s="594"/>
      <c r="L125" s="594"/>
      <c r="M125" s="594"/>
      <c r="N125" s="594"/>
      <c r="O125" s="594"/>
      <c r="P125" s="594"/>
      <c r="Q125" s="594"/>
      <c r="R125" s="594"/>
      <c r="S125" s="594"/>
      <c r="T125" s="594"/>
      <c r="U125" s="594"/>
      <c r="V125" s="594"/>
      <c r="W125" s="594"/>
      <c r="X125" s="594"/>
      <c r="Y125" s="595"/>
    </row>
    <row r="126" spans="1:25" ht="9.9499999999999993" customHeight="1" x14ac:dyDescent="0.25">
      <c r="A126" s="549">
        <f t="shared" si="9"/>
        <v>40</v>
      </c>
      <c r="B126" s="548"/>
      <c r="C126" s="188"/>
      <c r="D126" s="188"/>
      <c r="E126" s="188"/>
      <c r="F126" s="188"/>
      <c r="G126" s="189"/>
      <c r="H126" s="590"/>
      <c r="I126" s="591"/>
      <c r="J126" s="591"/>
      <c r="K126" s="591"/>
      <c r="L126" s="591"/>
      <c r="M126" s="591"/>
      <c r="N126" s="591"/>
      <c r="O126" s="591"/>
      <c r="P126" s="591"/>
      <c r="Q126" s="591"/>
      <c r="R126" s="591"/>
      <c r="S126" s="591"/>
      <c r="T126" s="591"/>
      <c r="U126" s="591"/>
      <c r="V126" s="591"/>
      <c r="W126" s="591"/>
      <c r="X126" s="591"/>
      <c r="Y126" s="592"/>
    </row>
    <row r="127" spans="1:25" ht="20.100000000000001" customHeight="1" x14ac:dyDescent="0.25">
      <c r="A127" s="550"/>
      <c r="B127" s="548"/>
      <c r="C127" s="585" t="s">
        <v>165</v>
      </c>
      <c r="D127" s="586"/>
      <c r="E127" s="194"/>
      <c r="F127" s="194"/>
      <c r="G127" s="191"/>
      <c r="H127" s="597"/>
      <c r="I127" s="598"/>
      <c r="J127" s="598"/>
      <c r="K127" s="598"/>
      <c r="L127" s="598"/>
      <c r="M127" s="598"/>
      <c r="N127" s="598"/>
      <c r="O127" s="598"/>
      <c r="P127" s="598"/>
      <c r="Q127" s="598"/>
      <c r="R127" s="598"/>
      <c r="S127" s="598"/>
      <c r="T127" s="598"/>
      <c r="U127" s="598"/>
      <c r="V127" s="598"/>
      <c r="W127" s="598"/>
      <c r="X127" s="598"/>
      <c r="Y127" s="599"/>
    </row>
    <row r="128" spans="1:25" ht="9.9499999999999993" customHeight="1" x14ac:dyDescent="0.25">
      <c r="A128" s="551"/>
      <c r="B128" s="548"/>
      <c r="C128" s="183"/>
      <c r="D128" s="183"/>
      <c r="E128" s="183"/>
      <c r="F128" s="183"/>
      <c r="G128" s="190"/>
      <c r="H128" s="593"/>
      <c r="I128" s="594"/>
      <c r="J128" s="594"/>
      <c r="K128" s="594"/>
      <c r="L128" s="594"/>
      <c r="M128" s="594"/>
      <c r="N128" s="594"/>
      <c r="O128" s="594"/>
      <c r="P128" s="594"/>
      <c r="Q128" s="594"/>
      <c r="R128" s="594"/>
      <c r="S128" s="594"/>
      <c r="T128" s="594"/>
      <c r="U128" s="594"/>
      <c r="V128" s="594"/>
      <c r="W128" s="594"/>
      <c r="X128" s="594"/>
      <c r="Y128" s="595"/>
    </row>
  </sheetData>
  <mergeCells count="182">
    <mergeCell ref="A1:O1"/>
    <mergeCell ref="Q1:Y2"/>
    <mergeCell ref="A2:O2"/>
    <mergeCell ref="A4:B4"/>
    <mergeCell ref="C4:K4"/>
    <mergeCell ref="M4:P4"/>
    <mergeCell ref="Q4:R4"/>
    <mergeCell ref="S4:T4"/>
    <mergeCell ref="U4:V4"/>
    <mergeCell ref="W4:Y4"/>
    <mergeCell ref="W5:Y5"/>
    <mergeCell ref="A7:A8"/>
    <mergeCell ref="B7:B8"/>
    <mergeCell ref="C7:G7"/>
    <mergeCell ref="H7:Y8"/>
    <mergeCell ref="C8:G8"/>
    <mergeCell ref="A5:B5"/>
    <mergeCell ref="C5:K5"/>
    <mergeCell ref="M5:P5"/>
    <mergeCell ref="Q5:R5"/>
    <mergeCell ref="S5:T5"/>
    <mergeCell ref="U5:V5"/>
    <mergeCell ref="A15:A17"/>
    <mergeCell ref="B15:B17"/>
    <mergeCell ref="H15:Y17"/>
    <mergeCell ref="C16:D16"/>
    <mergeCell ref="A18:A20"/>
    <mergeCell ref="B18:B20"/>
    <mergeCell ref="H18:Y20"/>
    <mergeCell ref="C19:D19"/>
    <mergeCell ref="A9:A11"/>
    <mergeCell ref="B9:B11"/>
    <mergeCell ref="H9:Y11"/>
    <mergeCell ref="C10:D10"/>
    <mergeCell ref="A12:A14"/>
    <mergeCell ref="B12:B14"/>
    <mergeCell ref="H12:Y14"/>
    <mergeCell ref="C13:D13"/>
    <mergeCell ref="A27:A29"/>
    <mergeCell ref="B27:B29"/>
    <mergeCell ref="H27:Y29"/>
    <mergeCell ref="C28:D28"/>
    <mergeCell ref="A30:A32"/>
    <mergeCell ref="B30:B32"/>
    <mergeCell ref="H30:Y32"/>
    <mergeCell ref="C31:D31"/>
    <mergeCell ref="A21:A23"/>
    <mergeCell ref="B21:B23"/>
    <mergeCell ref="H21:Y23"/>
    <mergeCell ref="C22:D22"/>
    <mergeCell ref="A24:A26"/>
    <mergeCell ref="B24:B26"/>
    <mergeCell ref="H24:Y26"/>
    <mergeCell ref="C25:D25"/>
    <mergeCell ref="A39:A41"/>
    <mergeCell ref="B39:B41"/>
    <mergeCell ref="H39:Y41"/>
    <mergeCell ref="C40:D40"/>
    <mergeCell ref="A42:A44"/>
    <mergeCell ref="B42:B44"/>
    <mergeCell ref="H42:Y44"/>
    <mergeCell ref="C43:D43"/>
    <mergeCell ref="A33:A35"/>
    <mergeCell ref="B33:B35"/>
    <mergeCell ref="H33:Y35"/>
    <mergeCell ref="C34:D34"/>
    <mergeCell ref="A36:A38"/>
    <mergeCell ref="B36:B38"/>
    <mergeCell ref="H36:Y38"/>
    <mergeCell ref="C37:D37"/>
    <mergeCell ref="A51:A53"/>
    <mergeCell ref="B51:B53"/>
    <mergeCell ref="H51:Y53"/>
    <mergeCell ref="C52:D52"/>
    <mergeCell ref="A54:A56"/>
    <mergeCell ref="B54:B56"/>
    <mergeCell ref="H54:Y56"/>
    <mergeCell ref="C55:D55"/>
    <mergeCell ref="A45:A47"/>
    <mergeCell ref="B45:B47"/>
    <mergeCell ref="H45:Y47"/>
    <mergeCell ref="C46:D46"/>
    <mergeCell ref="A48:A50"/>
    <mergeCell ref="B48:B50"/>
    <mergeCell ref="H48:Y50"/>
    <mergeCell ref="C49:D49"/>
    <mergeCell ref="A63:A65"/>
    <mergeCell ref="B63:B65"/>
    <mergeCell ref="H63:Y65"/>
    <mergeCell ref="C64:D64"/>
    <mergeCell ref="A66:A68"/>
    <mergeCell ref="B66:B68"/>
    <mergeCell ref="H66:Y68"/>
    <mergeCell ref="C67:D67"/>
    <mergeCell ref="A57:A59"/>
    <mergeCell ref="B57:B59"/>
    <mergeCell ref="H57:Y59"/>
    <mergeCell ref="C58:D58"/>
    <mergeCell ref="A60:A62"/>
    <mergeCell ref="B60:B62"/>
    <mergeCell ref="H60:Y62"/>
    <mergeCell ref="C61:D61"/>
    <mergeCell ref="A75:A77"/>
    <mergeCell ref="B75:B77"/>
    <mergeCell ref="H75:Y77"/>
    <mergeCell ref="C76:D76"/>
    <mergeCell ref="A78:A80"/>
    <mergeCell ref="B78:B80"/>
    <mergeCell ref="H78:Y80"/>
    <mergeCell ref="C79:D79"/>
    <mergeCell ref="A69:A71"/>
    <mergeCell ref="B69:B71"/>
    <mergeCell ref="H69:Y71"/>
    <mergeCell ref="C70:D70"/>
    <mergeCell ref="A72:A74"/>
    <mergeCell ref="B72:B74"/>
    <mergeCell ref="H72:Y74"/>
    <mergeCell ref="C73:D73"/>
    <mergeCell ref="A87:A89"/>
    <mergeCell ref="B87:B89"/>
    <mergeCell ref="H87:Y89"/>
    <mergeCell ref="C88:D88"/>
    <mergeCell ref="A90:A92"/>
    <mergeCell ref="B90:B92"/>
    <mergeCell ref="H90:Y92"/>
    <mergeCell ref="C91:D91"/>
    <mergeCell ref="A81:A83"/>
    <mergeCell ref="B81:B83"/>
    <mergeCell ref="H81:Y83"/>
    <mergeCell ref="C82:D82"/>
    <mergeCell ref="A84:A86"/>
    <mergeCell ref="B84:B86"/>
    <mergeCell ref="H84:Y86"/>
    <mergeCell ref="C85:D85"/>
    <mergeCell ref="A99:A101"/>
    <mergeCell ref="B99:B101"/>
    <mergeCell ref="H99:Y101"/>
    <mergeCell ref="C100:D100"/>
    <mergeCell ref="A102:A104"/>
    <mergeCell ref="B102:B104"/>
    <mergeCell ref="H102:Y104"/>
    <mergeCell ref="C103:D103"/>
    <mergeCell ref="A93:A95"/>
    <mergeCell ref="B93:B95"/>
    <mergeCell ref="H93:Y95"/>
    <mergeCell ref="C94:D94"/>
    <mergeCell ref="A96:A98"/>
    <mergeCell ref="B96:B98"/>
    <mergeCell ref="H96:Y98"/>
    <mergeCell ref="C97:D97"/>
    <mergeCell ref="A111:A113"/>
    <mergeCell ref="B111:B113"/>
    <mergeCell ref="H111:Y113"/>
    <mergeCell ref="C112:D112"/>
    <mergeCell ref="A114:A116"/>
    <mergeCell ref="B114:B116"/>
    <mergeCell ref="H114:Y116"/>
    <mergeCell ref="C115:D115"/>
    <mergeCell ref="A105:A107"/>
    <mergeCell ref="B105:B107"/>
    <mergeCell ref="H105:Y107"/>
    <mergeCell ref="C106:D106"/>
    <mergeCell ref="A108:A110"/>
    <mergeCell ref="B108:B110"/>
    <mergeCell ref="H108:Y110"/>
    <mergeCell ref="C109:D109"/>
    <mergeCell ref="A123:A125"/>
    <mergeCell ref="B123:B125"/>
    <mergeCell ref="H123:Y125"/>
    <mergeCell ref="C124:D124"/>
    <mergeCell ref="A126:A128"/>
    <mergeCell ref="B126:B128"/>
    <mergeCell ref="H126:Y128"/>
    <mergeCell ref="C127:D127"/>
    <mergeCell ref="A117:A119"/>
    <mergeCell ref="B117:B119"/>
    <mergeCell ref="H117:Y119"/>
    <mergeCell ref="C118:D118"/>
    <mergeCell ref="A120:A122"/>
    <mergeCell ref="B120:B122"/>
    <mergeCell ref="H120:Y122"/>
    <mergeCell ref="C121:D121"/>
  </mergeCells>
  <pageMargins left="0.39370078740157483" right="0.39370078740157483" top="0.39370078740157483" bottom="0.78740157480314965" header="0" footer="0.39370078740157483"/>
  <pageSetup paperSize="9" orientation="landscape" horizontalDpi="300" r:id="rId1"/>
  <headerFooter>
    <oddFooter>Страница  &amp;P из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28"/>
  <sheetViews>
    <sheetView view="pageBreakPreview" zoomScaleSheetLayoutView="100" workbookViewId="0">
      <selection sqref="A1:O1"/>
    </sheetView>
  </sheetViews>
  <sheetFormatPr defaultColWidth="9.140625" defaultRowHeight="15" x14ac:dyDescent="0.25"/>
  <cols>
    <col min="1" max="1" width="5.7109375" style="14" customWidth="1"/>
    <col min="2" max="2" width="10.7109375" style="14" customWidth="1"/>
    <col min="3" max="3" width="15.7109375" style="14" customWidth="1"/>
    <col min="4" max="4" width="0.85546875" style="14" customWidth="1"/>
    <col min="5" max="6" width="3.28515625" style="14" customWidth="1"/>
    <col min="7" max="7" width="0.85546875" style="14" customWidth="1"/>
    <col min="8" max="8" width="15.7109375" style="14" customWidth="1"/>
    <col min="9" max="9" width="0.85546875" style="14" customWidth="1"/>
    <col min="10" max="11" width="3.28515625" style="14" customWidth="1"/>
    <col min="12" max="12" width="0.85546875" style="14" customWidth="1"/>
    <col min="13" max="25" width="5.7109375" style="14" customWidth="1"/>
    <col min="26" max="16384" width="9.140625" style="14"/>
  </cols>
  <sheetData>
    <row r="1" spans="1:28" ht="21" customHeight="1" x14ac:dyDescent="0.25">
      <c r="A1" s="566" t="str">
        <f>НазваниеПолное</f>
        <v>Ралли "Skoda Rally Weekend - 2017"</v>
      </c>
      <c r="B1" s="567"/>
      <c r="C1" s="567"/>
      <c r="D1" s="567"/>
      <c r="E1" s="567"/>
      <c r="F1" s="567"/>
      <c r="G1" s="567"/>
      <c r="H1" s="567"/>
      <c r="I1" s="567"/>
      <c r="J1" s="567"/>
      <c r="K1" s="567"/>
      <c r="L1" s="567"/>
      <c r="M1" s="567"/>
      <c r="N1" s="567"/>
      <c r="O1" s="568"/>
      <c r="P1" s="193"/>
      <c r="Q1" s="569" t="str">
        <f ca="1">INDIRECT(ADDRESS($AB$1,1,,,"Общее"))</f>
        <v>КВ-1 М1 / ДС-2 РУ Старт</v>
      </c>
      <c r="R1" s="569"/>
      <c r="S1" s="569"/>
      <c r="T1" s="569"/>
      <c r="U1" s="569"/>
      <c r="V1" s="569"/>
      <c r="W1" s="569"/>
      <c r="X1" s="569"/>
      <c r="Y1" s="569"/>
      <c r="AA1" s="14" t="s">
        <v>153</v>
      </c>
      <c r="AB1" s="14">
        <v>16</v>
      </c>
    </row>
    <row r="2" spans="1:28" ht="21" customHeight="1" x14ac:dyDescent="0.25">
      <c r="A2" s="570" t="s">
        <v>11</v>
      </c>
      <c r="B2" s="571"/>
      <c r="C2" s="571"/>
      <c r="D2" s="571"/>
      <c r="E2" s="571"/>
      <c r="F2" s="571"/>
      <c r="G2" s="571"/>
      <c r="H2" s="571"/>
      <c r="I2" s="571"/>
      <c r="J2" s="571"/>
      <c r="K2" s="571"/>
      <c r="L2" s="571"/>
      <c r="M2" s="571"/>
      <c r="N2" s="571"/>
      <c r="O2" s="572"/>
      <c r="P2" s="192"/>
      <c r="Q2" s="569"/>
      <c r="R2" s="569"/>
      <c r="S2" s="569"/>
      <c r="T2" s="569"/>
      <c r="U2" s="569"/>
      <c r="V2" s="569"/>
      <c r="W2" s="569"/>
      <c r="X2" s="569"/>
      <c r="Y2" s="569"/>
    </row>
    <row r="3" spans="1:28" ht="2.1" customHeight="1" x14ac:dyDescent="0.25">
      <c r="A3" s="18"/>
      <c r="B3" s="18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2"/>
      <c r="N3" s="182"/>
      <c r="O3" s="182"/>
      <c r="P3" s="182"/>
    </row>
    <row r="4" spans="1:28" ht="20.100000000000001" customHeight="1" x14ac:dyDescent="0.25">
      <c r="A4" s="548" t="s">
        <v>12</v>
      </c>
      <c r="B4" s="548"/>
      <c r="C4" s="573" t="str">
        <f ca="1">INDIRECT(ADDRESS($AB$1,12,,,"Общее"))</f>
        <v>Грушин+</v>
      </c>
      <c r="D4" s="573"/>
      <c r="E4" s="573"/>
      <c r="F4" s="573"/>
      <c r="G4" s="573"/>
      <c r="H4" s="573"/>
      <c r="I4" s="573"/>
      <c r="J4" s="573"/>
      <c r="K4" s="573"/>
      <c r="M4" s="548" t="s">
        <v>268</v>
      </c>
      <c r="N4" s="548"/>
      <c r="O4" s="548"/>
      <c r="P4" s="548"/>
      <c r="Q4" s="548" t="s">
        <v>136</v>
      </c>
      <c r="R4" s="548"/>
      <c r="S4" s="554">
        <f ca="1">INDIRECT(ADDRESS($AB$1,9,,,"Общее"))</f>
        <v>0.53194444444444444</v>
      </c>
      <c r="T4" s="554"/>
      <c r="U4" s="548" t="s">
        <v>135</v>
      </c>
      <c r="V4" s="548"/>
      <c r="W4" s="552" t="s">
        <v>164</v>
      </c>
      <c r="X4" s="552"/>
      <c r="Y4" s="552"/>
    </row>
    <row r="5" spans="1:28" ht="20.100000000000001" customHeight="1" x14ac:dyDescent="0.25">
      <c r="A5" s="548" t="s">
        <v>13</v>
      </c>
      <c r="B5" s="548"/>
      <c r="C5" s="548"/>
      <c r="D5" s="548"/>
      <c r="E5" s="548"/>
      <c r="F5" s="548"/>
      <c r="G5" s="548"/>
      <c r="H5" s="548"/>
      <c r="I5" s="548"/>
      <c r="J5" s="548"/>
      <c r="K5" s="548"/>
      <c r="M5" s="548" t="s">
        <v>269</v>
      </c>
      <c r="N5" s="548"/>
      <c r="O5" s="548"/>
      <c r="P5" s="548"/>
      <c r="Q5" s="548" t="s">
        <v>136</v>
      </c>
      <c r="R5" s="548"/>
      <c r="S5" s="554">
        <f ca="1">INDIRECT(ADDRESS($AB$1,11,,,"Общее"))</f>
        <v>0.58749999999999991</v>
      </c>
      <c r="T5" s="554"/>
      <c r="U5" s="548" t="s">
        <v>135</v>
      </c>
      <c r="V5" s="548"/>
      <c r="W5" s="552" t="s">
        <v>164</v>
      </c>
      <c r="X5" s="552"/>
      <c r="Y5" s="552"/>
    </row>
    <row r="6" spans="1:28" ht="2.1" customHeight="1" x14ac:dyDescent="0.25">
      <c r="A6" s="180"/>
      <c r="B6" s="180"/>
      <c r="C6" s="60"/>
      <c r="D6" s="60"/>
      <c r="E6" s="180"/>
      <c r="F6" s="180"/>
      <c r="G6" s="180"/>
      <c r="H6" s="60"/>
      <c r="I6" s="60"/>
      <c r="J6" s="180"/>
      <c r="K6" s="180"/>
      <c r="L6" s="180"/>
      <c r="M6" s="179"/>
      <c r="N6" s="179"/>
      <c r="O6" s="179"/>
      <c r="P6" s="179"/>
    </row>
    <row r="7" spans="1:28" ht="20.100000000000001" customHeight="1" x14ac:dyDescent="0.25">
      <c r="A7" s="553"/>
      <c r="B7" s="548" t="s">
        <v>0</v>
      </c>
      <c r="C7" s="587" t="s">
        <v>62</v>
      </c>
      <c r="D7" s="588"/>
      <c r="E7" s="588"/>
      <c r="F7" s="588"/>
      <c r="G7" s="589"/>
      <c r="H7" s="587" t="s">
        <v>37</v>
      </c>
      <c r="I7" s="588"/>
      <c r="J7" s="588"/>
      <c r="K7" s="588"/>
      <c r="L7" s="589"/>
      <c r="M7" s="590" t="s">
        <v>80</v>
      </c>
      <c r="N7" s="591"/>
      <c r="O7" s="591"/>
      <c r="P7" s="591"/>
      <c r="Q7" s="591"/>
      <c r="R7" s="591"/>
      <c r="S7" s="591"/>
      <c r="T7" s="591"/>
      <c r="U7" s="591"/>
      <c r="V7" s="591"/>
      <c r="W7" s="591"/>
      <c r="X7" s="591"/>
      <c r="Y7" s="592"/>
      <c r="AA7" s="14" t="s">
        <v>437</v>
      </c>
    </row>
    <row r="8" spans="1:28" ht="20.100000000000001" customHeight="1" x14ac:dyDescent="0.25">
      <c r="A8" s="553"/>
      <c r="B8" s="548"/>
      <c r="C8" s="587" t="s">
        <v>270</v>
      </c>
      <c r="D8" s="588"/>
      <c r="E8" s="588"/>
      <c r="F8" s="588"/>
      <c r="G8" s="589"/>
      <c r="H8" s="587" t="s">
        <v>270</v>
      </c>
      <c r="I8" s="588"/>
      <c r="J8" s="588"/>
      <c r="K8" s="588"/>
      <c r="L8" s="589"/>
      <c r="M8" s="593"/>
      <c r="N8" s="594"/>
      <c r="O8" s="594"/>
      <c r="P8" s="594"/>
      <c r="Q8" s="594"/>
      <c r="R8" s="594"/>
      <c r="S8" s="594"/>
      <c r="T8" s="594"/>
      <c r="U8" s="594"/>
      <c r="V8" s="594"/>
      <c r="W8" s="594"/>
      <c r="X8" s="594"/>
      <c r="Y8" s="595"/>
    </row>
    <row r="9" spans="1:28" ht="9.9499999999999993" customHeight="1" x14ac:dyDescent="0.25">
      <c r="A9" s="549">
        <v>1</v>
      </c>
      <c r="B9" s="548"/>
      <c r="C9" s="188"/>
      <c r="D9" s="188"/>
      <c r="E9" s="188"/>
      <c r="F9" s="188"/>
      <c r="G9" s="189"/>
      <c r="H9" s="188"/>
      <c r="I9" s="188"/>
      <c r="J9" s="188"/>
      <c r="K9" s="188"/>
      <c r="L9" s="189"/>
      <c r="M9" s="590"/>
      <c r="N9" s="591"/>
      <c r="O9" s="591"/>
      <c r="P9" s="591"/>
      <c r="Q9" s="591"/>
      <c r="R9" s="591"/>
      <c r="S9" s="591"/>
      <c r="T9" s="591"/>
      <c r="U9" s="591"/>
      <c r="V9" s="591"/>
      <c r="W9" s="591"/>
      <c r="X9" s="591"/>
      <c r="Y9" s="592"/>
    </row>
    <row r="10" spans="1:28" s="27" customFormat="1" ht="20.100000000000001" customHeight="1" x14ac:dyDescent="0.25">
      <c r="A10" s="550"/>
      <c r="B10" s="548"/>
      <c r="C10" s="585" t="s">
        <v>165</v>
      </c>
      <c r="D10" s="586"/>
      <c r="E10" s="195"/>
      <c r="F10" s="195"/>
      <c r="G10" s="191"/>
      <c r="H10" s="585" t="s">
        <v>165</v>
      </c>
      <c r="I10" s="586"/>
      <c r="J10" s="195"/>
      <c r="K10" s="195"/>
      <c r="L10" s="191"/>
      <c r="M10" s="597"/>
      <c r="N10" s="598"/>
      <c r="O10" s="598"/>
      <c r="P10" s="598"/>
      <c r="Q10" s="598"/>
      <c r="R10" s="598"/>
      <c r="S10" s="598"/>
      <c r="T10" s="598"/>
      <c r="U10" s="598"/>
      <c r="V10" s="598"/>
      <c r="W10" s="598"/>
      <c r="X10" s="598"/>
      <c r="Y10" s="599"/>
    </row>
    <row r="11" spans="1:28" ht="9.9499999999999993" customHeight="1" x14ac:dyDescent="0.25">
      <c r="A11" s="551"/>
      <c r="B11" s="548"/>
      <c r="C11" s="183"/>
      <c r="D11" s="183"/>
      <c r="E11" s="183"/>
      <c r="F11" s="183"/>
      <c r="G11" s="190"/>
      <c r="H11" s="183"/>
      <c r="I11" s="183"/>
      <c r="J11" s="183"/>
      <c r="K11" s="183"/>
      <c r="L11" s="190"/>
      <c r="M11" s="593"/>
      <c r="N11" s="594"/>
      <c r="O11" s="594"/>
      <c r="P11" s="594"/>
      <c r="Q11" s="594"/>
      <c r="R11" s="594"/>
      <c r="S11" s="594"/>
      <c r="T11" s="594"/>
      <c r="U11" s="594"/>
      <c r="V11" s="594"/>
      <c r="W11" s="594"/>
      <c r="X11" s="594"/>
      <c r="Y11" s="595"/>
    </row>
    <row r="12" spans="1:28" ht="9.9499999999999993" customHeight="1" x14ac:dyDescent="0.25">
      <c r="A12" s="549">
        <f>1+A9</f>
        <v>2</v>
      </c>
      <c r="B12" s="548"/>
      <c r="C12" s="188"/>
      <c r="D12" s="188"/>
      <c r="E12" s="188"/>
      <c r="F12" s="188"/>
      <c r="G12" s="189"/>
      <c r="H12" s="188"/>
      <c r="I12" s="188"/>
      <c r="J12" s="188"/>
      <c r="K12" s="188"/>
      <c r="L12" s="189"/>
      <c r="M12" s="590"/>
      <c r="N12" s="591"/>
      <c r="O12" s="591"/>
      <c r="P12" s="591"/>
      <c r="Q12" s="591"/>
      <c r="R12" s="591"/>
      <c r="S12" s="591"/>
      <c r="T12" s="591"/>
      <c r="U12" s="591"/>
      <c r="V12" s="591"/>
      <c r="W12" s="591"/>
      <c r="X12" s="591"/>
      <c r="Y12" s="592"/>
    </row>
    <row r="13" spans="1:28" s="27" customFormat="1" ht="20.100000000000001" customHeight="1" x14ac:dyDescent="0.25">
      <c r="A13" s="550"/>
      <c r="B13" s="548"/>
      <c r="C13" s="585" t="s">
        <v>165</v>
      </c>
      <c r="D13" s="586"/>
      <c r="E13" s="195"/>
      <c r="F13" s="195"/>
      <c r="G13" s="191"/>
      <c r="H13" s="585" t="s">
        <v>165</v>
      </c>
      <c r="I13" s="586"/>
      <c r="J13" s="195"/>
      <c r="K13" s="195"/>
      <c r="L13" s="191"/>
      <c r="M13" s="597"/>
      <c r="N13" s="598"/>
      <c r="O13" s="598"/>
      <c r="P13" s="598"/>
      <c r="Q13" s="598"/>
      <c r="R13" s="598"/>
      <c r="S13" s="598"/>
      <c r="T13" s="598"/>
      <c r="U13" s="598"/>
      <c r="V13" s="598"/>
      <c r="W13" s="598"/>
      <c r="X13" s="598"/>
      <c r="Y13" s="599"/>
    </row>
    <row r="14" spans="1:28" ht="9.9499999999999993" customHeight="1" x14ac:dyDescent="0.25">
      <c r="A14" s="551"/>
      <c r="B14" s="548"/>
      <c r="C14" s="183"/>
      <c r="D14" s="183"/>
      <c r="E14" s="183"/>
      <c r="F14" s="183"/>
      <c r="G14" s="190"/>
      <c r="H14" s="183"/>
      <c r="I14" s="183"/>
      <c r="J14" s="183"/>
      <c r="K14" s="183"/>
      <c r="L14" s="190"/>
      <c r="M14" s="593"/>
      <c r="N14" s="594"/>
      <c r="O14" s="594"/>
      <c r="P14" s="594"/>
      <c r="Q14" s="594"/>
      <c r="R14" s="594"/>
      <c r="S14" s="594"/>
      <c r="T14" s="594"/>
      <c r="U14" s="594"/>
      <c r="V14" s="594"/>
      <c r="W14" s="594"/>
      <c r="X14" s="594"/>
      <c r="Y14" s="595"/>
    </row>
    <row r="15" spans="1:28" ht="9.9499999999999993" customHeight="1" x14ac:dyDescent="0.25">
      <c r="A15" s="549">
        <f>1+A12</f>
        <v>3</v>
      </c>
      <c r="B15" s="548"/>
      <c r="C15" s="188"/>
      <c r="D15" s="188"/>
      <c r="E15" s="188"/>
      <c r="F15" s="188"/>
      <c r="G15" s="189"/>
      <c r="H15" s="188"/>
      <c r="I15" s="188"/>
      <c r="J15" s="188"/>
      <c r="K15" s="188"/>
      <c r="L15" s="189"/>
      <c r="M15" s="590"/>
      <c r="N15" s="591"/>
      <c r="O15" s="591"/>
      <c r="P15" s="591"/>
      <c r="Q15" s="591"/>
      <c r="R15" s="591"/>
      <c r="S15" s="591"/>
      <c r="T15" s="591"/>
      <c r="U15" s="591"/>
      <c r="V15" s="591"/>
      <c r="W15" s="591"/>
      <c r="X15" s="591"/>
      <c r="Y15" s="592"/>
    </row>
    <row r="16" spans="1:28" s="27" customFormat="1" ht="20.100000000000001" customHeight="1" x14ac:dyDescent="0.25">
      <c r="A16" s="550"/>
      <c r="B16" s="548"/>
      <c r="C16" s="585" t="s">
        <v>165</v>
      </c>
      <c r="D16" s="586"/>
      <c r="E16" s="195"/>
      <c r="F16" s="195"/>
      <c r="G16" s="191"/>
      <c r="H16" s="585" t="s">
        <v>165</v>
      </c>
      <c r="I16" s="586"/>
      <c r="J16" s="195"/>
      <c r="K16" s="195"/>
      <c r="L16" s="191"/>
      <c r="M16" s="597"/>
      <c r="N16" s="598"/>
      <c r="O16" s="598"/>
      <c r="P16" s="598"/>
      <c r="Q16" s="598"/>
      <c r="R16" s="598"/>
      <c r="S16" s="598"/>
      <c r="T16" s="598"/>
      <c r="U16" s="598"/>
      <c r="V16" s="598"/>
      <c r="W16" s="598"/>
      <c r="X16" s="598"/>
      <c r="Y16" s="599"/>
    </row>
    <row r="17" spans="1:25" ht="9.9499999999999993" customHeight="1" x14ac:dyDescent="0.25">
      <c r="A17" s="551"/>
      <c r="B17" s="548"/>
      <c r="C17" s="183"/>
      <c r="D17" s="183"/>
      <c r="E17" s="183"/>
      <c r="F17" s="183"/>
      <c r="G17" s="190"/>
      <c r="H17" s="183"/>
      <c r="I17" s="183"/>
      <c r="J17" s="183"/>
      <c r="K17" s="183"/>
      <c r="L17" s="190"/>
      <c r="M17" s="593"/>
      <c r="N17" s="594"/>
      <c r="O17" s="594"/>
      <c r="P17" s="594"/>
      <c r="Q17" s="594"/>
      <c r="R17" s="594"/>
      <c r="S17" s="594"/>
      <c r="T17" s="594"/>
      <c r="U17" s="594"/>
      <c r="V17" s="594"/>
      <c r="W17" s="594"/>
      <c r="X17" s="594"/>
      <c r="Y17" s="595"/>
    </row>
    <row r="18" spans="1:25" ht="9.9499999999999993" customHeight="1" x14ac:dyDescent="0.25">
      <c r="A18" s="549">
        <f t="shared" ref="A18" si="0">1+A15</f>
        <v>4</v>
      </c>
      <c r="B18" s="548"/>
      <c r="C18" s="188"/>
      <c r="D18" s="188"/>
      <c r="E18" s="188"/>
      <c r="F18" s="188"/>
      <c r="G18" s="189"/>
      <c r="H18" s="188"/>
      <c r="I18" s="188"/>
      <c r="J18" s="188"/>
      <c r="K18" s="188"/>
      <c r="L18" s="189"/>
      <c r="M18" s="590"/>
      <c r="N18" s="591"/>
      <c r="O18" s="591"/>
      <c r="P18" s="591"/>
      <c r="Q18" s="591"/>
      <c r="R18" s="591"/>
      <c r="S18" s="591"/>
      <c r="T18" s="591"/>
      <c r="U18" s="591"/>
      <c r="V18" s="591"/>
      <c r="W18" s="591"/>
      <c r="X18" s="591"/>
      <c r="Y18" s="592"/>
    </row>
    <row r="19" spans="1:25" s="27" customFormat="1" ht="20.100000000000001" customHeight="1" x14ac:dyDescent="0.25">
      <c r="A19" s="550"/>
      <c r="B19" s="548"/>
      <c r="C19" s="585" t="s">
        <v>165</v>
      </c>
      <c r="D19" s="586"/>
      <c r="E19" s="195"/>
      <c r="F19" s="195"/>
      <c r="G19" s="191"/>
      <c r="H19" s="585" t="s">
        <v>165</v>
      </c>
      <c r="I19" s="586"/>
      <c r="J19" s="195"/>
      <c r="K19" s="195"/>
      <c r="L19" s="191"/>
      <c r="M19" s="597"/>
      <c r="N19" s="598"/>
      <c r="O19" s="598"/>
      <c r="P19" s="598"/>
      <c r="Q19" s="598"/>
      <c r="R19" s="598"/>
      <c r="S19" s="598"/>
      <c r="T19" s="598"/>
      <c r="U19" s="598"/>
      <c r="V19" s="598"/>
      <c r="W19" s="598"/>
      <c r="X19" s="598"/>
      <c r="Y19" s="599"/>
    </row>
    <row r="20" spans="1:25" ht="9.9499999999999993" customHeight="1" x14ac:dyDescent="0.25">
      <c r="A20" s="551"/>
      <c r="B20" s="548"/>
      <c r="C20" s="183"/>
      <c r="D20" s="183"/>
      <c r="E20" s="183"/>
      <c r="F20" s="183"/>
      <c r="G20" s="190"/>
      <c r="H20" s="183"/>
      <c r="I20" s="183"/>
      <c r="J20" s="183"/>
      <c r="K20" s="183"/>
      <c r="L20" s="190"/>
      <c r="M20" s="593"/>
      <c r="N20" s="594"/>
      <c r="O20" s="594"/>
      <c r="P20" s="594"/>
      <c r="Q20" s="594"/>
      <c r="R20" s="594"/>
      <c r="S20" s="594"/>
      <c r="T20" s="594"/>
      <c r="U20" s="594"/>
      <c r="V20" s="594"/>
      <c r="W20" s="594"/>
      <c r="X20" s="594"/>
      <c r="Y20" s="595"/>
    </row>
    <row r="21" spans="1:25" ht="9.9499999999999993" customHeight="1" x14ac:dyDescent="0.25">
      <c r="A21" s="549">
        <f t="shared" ref="A21" si="1">1+A18</f>
        <v>5</v>
      </c>
      <c r="B21" s="548"/>
      <c r="C21" s="188"/>
      <c r="D21" s="188"/>
      <c r="E21" s="188"/>
      <c r="F21" s="188"/>
      <c r="G21" s="189"/>
      <c r="H21" s="188"/>
      <c r="I21" s="188"/>
      <c r="J21" s="188"/>
      <c r="K21" s="188"/>
      <c r="L21" s="189"/>
      <c r="M21" s="590"/>
      <c r="N21" s="591"/>
      <c r="O21" s="591"/>
      <c r="P21" s="591"/>
      <c r="Q21" s="591"/>
      <c r="R21" s="591"/>
      <c r="S21" s="591"/>
      <c r="T21" s="591"/>
      <c r="U21" s="591"/>
      <c r="V21" s="591"/>
      <c r="W21" s="591"/>
      <c r="X21" s="591"/>
      <c r="Y21" s="592"/>
    </row>
    <row r="22" spans="1:25" s="27" customFormat="1" ht="20.100000000000001" customHeight="1" x14ac:dyDescent="0.25">
      <c r="A22" s="550"/>
      <c r="B22" s="548"/>
      <c r="C22" s="585" t="s">
        <v>165</v>
      </c>
      <c r="D22" s="586"/>
      <c r="E22" s="195"/>
      <c r="F22" s="195"/>
      <c r="G22" s="191"/>
      <c r="H22" s="585" t="s">
        <v>165</v>
      </c>
      <c r="I22" s="586"/>
      <c r="J22" s="195"/>
      <c r="K22" s="195"/>
      <c r="L22" s="191"/>
      <c r="M22" s="597"/>
      <c r="N22" s="598"/>
      <c r="O22" s="598"/>
      <c r="P22" s="598"/>
      <c r="Q22" s="598"/>
      <c r="R22" s="598"/>
      <c r="S22" s="598"/>
      <c r="T22" s="598"/>
      <c r="U22" s="598"/>
      <c r="V22" s="598"/>
      <c r="W22" s="598"/>
      <c r="X22" s="598"/>
      <c r="Y22" s="599"/>
    </row>
    <row r="23" spans="1:25" ht="9.9499999999999993" customHeight="1" x14ac:dyDescent="0.25">
      <c r="A23" s="551"/>
      <c r="B23" s="548"/>
      <c r="C23" s="183"/>
      <c r="D23" s="183"/>
      <c r="E23" s="183"/>
      <c r="F23" s="183"/>
      <c r="G23" s="190"/>
      <c r="H23" s="183"/>
      <c r="I23" s="183"/>
      <c r="J23" s="183"/>
      <c r="K23" s="183"/>
      <c r="L23" s="190"/>
      <c r="M23" s="593"/>
      <c r="N23" s="594"/>
      <c r="O23" s="594"/>
      <c r="P23" s="594"/>
      <c r="Q23" s="594"/>
      <c r="R23" s="594"/>
      <c r="S23" s="594"/>
      <c r="T23" s="594"/>
      <c r="U23" s="594"/>
      <c r="V23" s="594"/>
      <c r="W23" s="594"/>
      <c r="X23" s="594"/>
      <c r="Y23" s="595"/>
    </row>
    <row r="24" spans="1:25" ht="9.9499999999999993" customHeight="1" x14ac:dyDescent="0.25">
      <c r="A24" s="549">
        <f t="shared" ref="A24" si="2">1+A21</f>
        <v>6</v>
      </c>
      <c r="B24" s="548"/>
      <c r="C24" s="188"/>
      <c r="D24" s="188"/>
      <c r="E24" s="188"/>
      <c r="F24" s="188"/>
      <c r="G24" s="189"/>
      <c r="H24" s="188"/>
      <c r="I24" s="188"/>
      <c r="J24" s="188"/>
      <c r="K24" s="188"/>
      <c r="L24" s="189"/>
      <c r="M24" s="590"/>
      <c r="N24" s="591"/>
      <c r="O24" s="591"/>
      <c r="P24" s="591"/>
      <c r="Q24" s="591"/>
      <c r="R24" s="591"/>
      <c r="S24" s="591"/>
      <c r="T24" s="591"/>
      <c r="U24" s="591"/>
      <c r="V24" s="591"/>
      <c r="W24" s="591"/>
      <c r="X24" s="591"/>
      <c r="Y24" s="592"/>
    </row>
    <row r="25" spans="1:25" s="27" customFormat="1" ht="20.100000000000001" customHeight="1" x14ac:dyDescent="0.25">
      <c r="A25" s="550"/>
      <c r="B25" s="548"/>
      <c r="C25" s="585" t="s">
        <v>165</v>
      </c>
      <c r="D25" s="586"/>
      <c r="E25" s="195"/>
      <c r="F25" s="195"/>
      <c r="G25" s="191"/>
      <c r="H25" s="585" t="s">
        <v>165</v>
      </c>
      <c r="I25" s="586"/>
      <c r="J25" s="195"/>
      <c r="K25" s="195"/>
      <c r="L25" s="191"/>
      <c r="M25" s="597"/>
      <c r="N25" s="598"/>
      <c r="O25" s="598"/>
      <c r="P25" s="598"/>
      <c r="Q25" s="598"/>
      <c r="R25" s="598"/>
      <c r="S25" s="598"/>
      <c r="T25" s="598"/>
      <c r="U25" s="598"/>
      <c r="V25" s="598"/>
      <c r="W25" s="598"/>
      <c r="X25" s="598"/>
      <c r="Y25" s="599"/>
    </row>
    <row r="26" spans="1:25" ht="9.9499999999999993" customHeight="1" x14ac:dyDescent="0.25">
      <c r="A26" s="551"/>
      <c r="B26" s="548"/>
      <c r="C26" s="183"/>
      <c r="D26" s="183"/>
      <c r="E26" s="183"/>
      <c r="F26" s="183"/>
      <c r="G26" s="190"/>
      <c r="H26" s="183"/>
      <c r="I26" s="183"/>
      <c r="J26" s="183"/>
      <c r="K26" s="183"/>
      <c r="L26" s="190"/>
      <c r="M26" s="593"/>
      <c r="N26" s="594"/>
      <c r="O26" s="594"/>
      <c r="P26" s="594"/>
      <c r="Q26" s="594"/>
      <c r="R26" s="594"/>
      <c r="S26" s="594"/>
      <c r="T26" s="594"/>
      <c r="U26" s="594"/>
      <c r="V26" s="594"/>
      <c r="W26" s="594"/>
      <c r="X26" s="594"/>
      <c r="Y26" s="595"/>
    </row>
    <row r="27" spans="1:25" ht="9.9499999999999993" customHeight="1" x14ac:dyDescent="0.25">
      <c r="A27" s="549">
        <f t="shared" ref="A27" si="3">1+A24</f>
        <v>7</v>
      </c>
      <c r="B27" s="548"/>
      <c r="C27" s="188"/>
      <c r="D27" s="188"/>
      <c r="E27" s="188"/>
      <c r="F27" s="188"/>
      <c r="G27" s="189"/>
      <c r="H27" s="188"/>
      <c r="I27" s="188"/>
      <c r="J27" s="188"/>
      <c r="K27" s="188"/>
      <c r="L27" s="189"/>
      <c r="M27" s="590"/>
      <c r="N27" s="591"/>
      <c r="O27" s="591"/>
      <c r="P27" s="591"/>
      <c r="Q27" s="591"/>
      <c r="R27" s="591"/>
      <c r="S27" s="591"/>
      <c r="T27" s="591"/>
      <c r="U27" s="591"/>
      <c r="V27" s="591"/>
      <c r="W27" s="591"/>
      <c r="X27" s="591"/>
      <c r="Y27" s="592"/>
    </row>
    <row r="28" spans="1:25" s="27" customFormat="1" ht="20.100000000000001" customHeight="1" x14ac:dyDescent="0.25">
      <c r="A28" s="550"/>
      <c r="B28" s="548"/>
      <c r="C28" s="585" t="s">
        <v>165</v>
      </c>
      <c r="D28" s="586"/>
      <c r="E28" s="195"/>
      <c r="F28" s="195"/>
      <c r="G28" s="191"/>
      <c r="H28" s="585" t="s">
        <v>165</v>
      </c>
      <c r="I28" s="586"/>
      <c r="J28" s="195"/>
      <c r="K28" s="195"/>
      <c r="L28" s="191"/>
      <c r="M28" s="597"/>
      <c r="N28" s="598"/>
      <c r="O28" s="598"/>
      <c r="P28" s="598"/>
      <c r="Q28" s="598"/>
      <c r="R28" s="598"/>
      <c r="S28" s="598"/>
      <c r="T28" s="598"/>
      <c r="U28" s="598"/>
      <c r="V28" s="598"/>
      <c r="W28" s="598"/>
      <c r="X28" s="598"/>
      <c r="Y28" s="599"/>
    </row>
    <row r="29" spans="1:25" ht="9.9499999999999993" customHeight="1" x14ac:dyDescent="0.25">
      <c r="A29" s="551"/>
      <c r="B29" s="548"/>
      <c r="C29" s="183"/>
      <c r="D29" s="183"/>
      <c r="E29" s="183"/>
      <c r="F29" s="183"/>
      <c r="G29" s="190"/>
      <c r="H29" s="183"/>
      <c r="I29" s="183"/>
      <c r="J29" s="183"/>
      <c r="K29" s="183"/>
      <c r="L29" s="190"/>
      <c r="M29" s="593"/>
      <c r="N29" s="594"/>
      <c r="O29" s="594"/>
      <c r="P29" s="594"/>
      <c r="Q29" s="594"/>
      <c r="R29" s="594"/>
      <c r="S29" s="594"/>
      <c r="T29" s="594"/>
      <c r="U29" s="594"/>
      <c r="V29" s="594"/>
      <c r="W29" s="594"/>
      <c r="X29" s="594"/>
      <c r="Y29" s="595"/>
    </row>
    <row r="30" spans="1:25" ht="9.9499999999999993" customHeight="1" x14ac:dyDescent="0.25">
      <c r="A30" s="549">
        <f t="shared" ref="A30" si="4">1+A27</f>
        <v>8</v>
      </c>
      <c r="B30" s="548"/>
      <c r="C30" s="188"/>
      <c r="D30" s="188"/>
      <c r="E30" s="188"/>
      <c r="F30" s="188"/>
      <c r="G30" s="189"/>
      <c r="H30" s="188"/>
      <c r="I30" s="188"/>
      <c r="J30" s="188"/>
      <c r="K30" s="188"/>
      <c r="L30" s="189"/>
      <c r="M30" s="590"/>
      <c r="N30" s="591"/>
      <c r="O30" s="591"/>
      <c r="P30" s="591"/>
      <c r="Q30" s="591"/>
      <c r="R30" s="591"/>
      <c r="S30" s="591"/>
      <c r="T30" s="591"/>
      <c r="U30" s="591"/>
      <c r="V30" s="591"/>
      <c r="W30" s="591"/>
      <c r="X30" s="591"/>
      <c r="Y30" s="592"/>
    </row>
    <row r="31" spans="1:25" s="27" customFormat="1" ht="20.100000000000001" customHeight="1" x14ac:dyDescent="0.25">
      <c r="A31" s="550"/>
      <c r="B31" s="548"/>
      <c r="C31" s="585" t="s">
        <v>165</v>
      </c>
      <c r="D31" s="586"/>
      <c r="E31" s="195"/>
      <c r="F31" s="195"/>
      <c r="G31" s="191"/>
      <c r="H31" s="585" t="s">
        <v>165</v>
      </c>
      <c r="I31" s="586"/>
      <c r="J31" s="195"/>
      <c r="K31" s="195"/>
      <c r="L31" s="191"/>
      <c r="M31" s="597"/>
      <c r="N31" s="598"/>
      <c r="O31" s="598"/>
      <c r="P31" s="598"/>
      <c r="Q31" s="598"/>
      <c r="R31" s="598"/>
      <c r="S31" s="598"/>
      <c r="T31" s="598"/>
      <c r="U31" s="598"/>
      <c r="V31" s="598"/>
      <c r="W31" s="598"/>
      <c r="X31" s="598"/>
      <c r="Y31" s="599"/>
    </row>
    <row r="32" spans="1:25" ht="9.9499999999999993" customHeight="1" x14ac:dyDescent="0.25">
      <c r="A32" s="551"/>
      <c r="B32" s="548"/>
      <c r="C32" s="183"/>
      <c r="D32" s="183"/>
      <c r="E32" s="183"/>
      <c r="F32" s="183"/>
      <c r="G32" s="190"/>
      <c r="H32" s="183"/>
      <c r="I32" s="183"/>
      <c r="J32" s="183"/>
      <c r="K32" s="183"/>
      <c r="L32" s="190"/>
      <c r="M32" s="593"/>
      <c r="N32" s="594"/>
      <c r="O32" s="594"/>
      <c r="P32" s="594"/>
      <c r="Q32" s="594"/>
      <c r="R32" s="594"/>
      <c r="S32" s="594"/>
      <c r="T32" s="594"/>
      <c r="U32" s="594"/>
      <c r="V32" s="594"/>
      <c r="W32" s="594"/>
      <c r="X32" s="594"/>
      <c r="Y32" s="595"/>
    </row>
    <row r="33" spans="1:25" ht="9.9499999999999993" customHeight="1" x14ac:dyDescent="0.25">
      <c r="A33" s="549">
        <f t="shared" ref="A33" si="5">1+A30</f>
        <v>9</v>
      </c>
      <c r="B33" s="548"/>
      <c r="C33" s="188"/>
      <c r="D33" s="188"/>
      <c r="E33" s="188"/>
      <c r="F33" s="188"/>
      <c r="G33" s="189"/>
      <c r="H33" s="188"/>
      <c r="I33" s="188"/>
      <c r="J33" s="188"/>
      <c r="K33" s="188"/>
      <c r="L33" s="189"/>
      <c r="M33" s="590"/>
      <c r="N33" s="591"/>
      <c r="O33" s="591"/>
      <c r="P33" s="591"/>
      <c r="Q33" s="591"/>
      <c r="R33" s="591"/>
      <c r="S33" s="591"/>
      <c r="T33" s="591"/>
      <c r="U33" s="591"/>
      <c r="V33" s="591"/>
      <c r="W33" s="591"/>
      <c r="X33" s="591"/>
      <c r="Y33" s="592"/>
    </row>
    <row r="34" spans="1:25" s="27" customFormat="1" ht="20.100000000000001" customHeight="1" x14ac:dyDescent="0.25">
      <c r="A34" s="550"/>
      <c r="B34" s="548"/>
      <c r="C34" s="585" t="s">
        <v>165</v>
      </c>
      <c r="D34" s="586"/>
      <c r="E34" s="195"/>
      <c r="F34" s="195"/>
      <c r="G34" s="191"/>
      <c r="H34" s="585" t="s">
        <v>165</v>
      </c>
      <c r="I34" s="586"/>
      <c r="J34" s="195"/>
      <c r="K34" s="195"/>
      <c r="L34" s="191"/>
      <c r="M34" s="597"/>
      <c r="N34" s="598"/>
      <c r="O34" s="598"/>
      <c r="P34" s="598"/>
      <c r="Q34" s="598"/>
      <c r="R34" s="598"/>
      <c r="S34" s="598"/>
      <c r="T34" s="598"/>
      <c r="U34" s="598"/>
      <c r="V34" s="598"/>
      <c r="W34" s="598"/>
      <c r="X34" s="598"/>
      <c r="Y34" s="599"/>
    </row>
    <row r="35" spans="1:25" ht="9.75" customHeight="1" x14ac:dyDescent="0.25">
      <c r="A35" s="551"/>
      <c r="B35" s="548"/>
      <c r="C35" s="183"/>
      <c r="D35" s="183"/>
      <c r="E35" s="183"/>
      <c r="F35" s="183"/>
      <c r="G35" s="190"/>
      <c r="H35" s="183"/>
      <c r="I35" s="183"/>
      <c r="J35" s="183"/>
      <c r="K35" s="183"/>
      <c r="L35" s="190"/>
      <c r="M35" s="593"/>
      <c r="N35" s="594"/>
      <c r="O35" s="594"/>
      <c r="P35" s="594"/>
      <c r="Q35" s="594"/>
      <c r="R35" s="594"/>
      <c r="S35" s="594"/>
      <c r="T35" s="594"/>
      <c r="U35" s="594"/>
      <c r="V35" s="594"/>
      <c r="W35" s="594"/>
      <c r="X35" s="594"/>
      <c r="Y35" s="595"/>
    </row>
    <row r="36" spans="1:25" ht="9.9499999999999993" customHeight="1" x14ac:dyDescent="0.25">
      <c r="A36" s="549">
        <f t="shared" ref="A36" si="6">1+A33</f>
        <v>10</v>
      </c>
      <c r="B36" s="548"/>
      <c r="C36" s="188"/>
      <c r="D36" s="188"/>
      <c r="E36" s="188"/>
      <c r="F36" s="188"/>
      <c r="G36" s="189"/>
      <c r="H36" s="188"/>
      <c r="I36" s="188"/>
      <c r="J36" s="188"/>
      <c r="K36" s="188"/>
      <c r="L36" s="189"/>
      <c r="M36" s="590"/>
      <c r="N36" s="591"/>
      <c r="O36" s="591"/>
      <c r="P36" s="591"/>
      <c r="Q36" s="591"/>
      <c r="R36" s="591"/>
      <c r="S36" s="591"/>
      <c r="T36" s="591"/>
      <c r="U36" s="591"/>
      <c r="V36" s="591"/>
      <c r="W36" s="591"/>
      <c r="X36" s="591"/>
      <c r="Y36" s="592"/>
    </row>
    <row r="37" spans="1:25" s="27" customFormat="1" ht="20.100000000000001" customHeight="1" x14ac:dyDescent="0.25">
      <c r="A37" s="550"/>
      <c r="B37" s="548"/>
      <c r="C37" s="585" t="s">
        <v>165</v>
      </c>
      <c r="D37" s="586"/>
      <c r="E37" s="195"/>
      <c r="F37" s="195"/>
      <c r="G37" s="191"/>
      <c r="H37" s="585" t="s">
        <v>165</v>
      </c>
      <c r="I37" s="586"/>
      <c r="J37" s="195"/>
      <c r="K37" s="195"/>
      <c r="L37" s="191"/>
      <c r="M37" s="597"/>
      <c r="N37" s="598"/>
      <c r="O37" s="598"/>
      <c r="P37" s="598"/>
      <c r="Q37" s="598"/>
      <c r="R37" s="598"/>
      <c r="S37" s="598"/>
      <c r="T37" s="598"/>
      <c r="U37" s="598"/>
      <c r="V37" s="598"/>
      <c r="W37" s="598"/>
      <c r="X37" s="598"/>
      <c r="Y37" s="599"/>
    </row>
    <row r="38" spans="1:25" ht="9.9499999999999993" customHeight="1" x14ac:dyDescent="0.25">
      <c r="A38" s="551"/>
      <c r="B38" s="548"/>
      <c r="C38" s="183"/>
      <c r="D38" s="183"/>
      <c r="E38" s="183"/>
      <c r="F38" s="183"/>
      <c r="G38" s="190"/>
      <c r="H38" s="183"/>
      <c r="I38" s="183"/>
      <c r="J38" s="183"/>
      <c r="K38" s="183"/>
      <c r="L38" s="190"/>
      <c r="M38" s="593"/>
      <c r="N38" s="594"/>
      <c r="O38" s="594"/>
      <c r="P38" s="594"/>
      <c r="Q38" s="594"/>
      <c r="R38" s="594"/>
      <c r="S38" s="594"/>
      <c r="T38" s="594"/>
      <c r="U38" s="594"/>
      <c r="V38" s="594"/>
      <c r="W38" s="594"/>
      <c r="X38" s="594"/>
      <c r="Y38" s="595"/>
    </row>
    <row r="39" spans="1:25" ht="9.9499999999999993" customHeight="1" x14ac:dyDescent="0.25">
      <c r="A39" s="549">
        <f t="shared" ref="A39:A66" si="7">1+A36</f>
        <v>11</v>
      </c>
      <c r="B39" s="548"/>
      <c r="C39" s="188"/>
      <c r="D39" s="188"/>
      <c r="E39" s="188"/>
      <c r="F39" s="188"/>
      <c r="G39" s="189"/>
      <c r="H39" s="188"/>
      <c r="I39" s="188"/>
      <c r="J39" s="188"/>
      <c r="K39" s="188"/>
      <c r="L39" s="189"/>
      <c r="M39" s="590"/>
      <c r="N39" s="591"/>
      <c r="O39" s="591"/>
      <c r="P39" s="591"/>
      <c r="Q39" s="591"/>
      <c r="R39" s="591"/>
      <c r="S39" s="591"/>
      <c r="T39" s="591"/>
      <c r="U39" s="591"/>
      <c r="V39" s="591"/>
      <c r="W39" s="591"/>
      <c r="X39" s="591"/>
      <c r="Y39" s="592"/>
    </row>
    <row r="40" spans="1:25" s="27" customFormat="1" ht="20.100000000000001" customHeight="1" x14ac:dyDescent="0.25">
      <c r="A40" s="550"/>
      <c r="B40" s="548"/>
      <c r="C40" s="585" t="s">
        <v>165</v>
      </c>
      <c r="D40" s="586"/>
      <c r="E40" s="195"/>
      <c r="F40" s="195"/>
      <c r="G40" s="191"/>
      <c r="H40" s="585" t="s">
        <v>165</v>
      </c>
      <c r="I40" s="586"/>
      <c r="J40" s="195"/>
      <c r="K40" s="195"/>
      <c r="L40" s="191"/>
      <c r="M40" s="597"/>
      <c r="N40" s="598"/>
      <c r="O40" s="598"/>
      <c r="P40" s="598"/>
      <c r="Q40" s="598"/>
      <c r="R40" s="598"/>
      <c r="S40" s="598"/>
      <c r="T40" s="598"/>
      <c r="U40" s="598"/>
      <c r="V40" s="598"/>
      <c r="W40" s="598"/>
      <c r="X40" s="598"/>
      <c r="Y40" s="599"/>
    </row>
    <row r="41" spans="1:25" ht="9.9499999999999993" customHeight="1" x14ac:dyDescent="0.25">
      <c r="A41" s="551"/>
      <c r="B41" s="548"/>
      <c r="C41" s="183"/>
      <c r="D41" s="183"/>
      <c r="E41" s="183"/>
      <c r="F41" s="183"/>
      <c r="G41" s="190"/>
      <c r="H41" s="183"/>
      <c r="I41" s="183"/>
      <c r="J41" s="183"/>
      <c r="K41" s="183"/>
      <c r="L41" s="190"/>
      <c r="M41" s="593"/>
      <c r="N41" s="594"/>
      <c r="O41" s="594"/>
      <c r="P41" s="594"/>
      <c r="Q41" s="594"/>
      <c r="R41" s="594"/>
      <c r="S41" s="594"/>
      <c r="T41" s="594"/>
      <c r="U41" s="594"/>
      <c r="V41" s="594"/>
      <c r="W41" s="594"/>
      <c r="X41" s="594"/>
      <c r="Y41" s="595"/>
    </row>
    <row r="42" spans="1:25" ht="9.9499999999999993" customHeight="1" x14ac:dyDescent="0.25">
      <c r="A42" s="549">
        <f t="shared" si="7"/>
        <v>12</v>
      </c>
      <c r="B42" s="548"/>
      <c r="C42" s="188"/>
      <c r="D42" s="188"/>
      <c r="E42" s="188"/>
      <c r="F42" s="188"/>
      <c r="G42" s="189"/>
      <c r="H42" s="188"/>
      <c r="I42" s="188"/>
      <c r="J42" s="188"/>
      <c r="K42" s="188"/>
      <c r="L42" s="189"/>
      <c r="M42" s="590"/>
      <c r="N42" s="591"/>
      <c r="O42" s="591"/>
      <c r="P42" s="591"/>
      <c r="Q42" s="591"/>
      <c r="R42" s="591"/>
      <c r="S42" s="591"/>
      <c r="T42" s="591"/>
      <c r="U42" s="591"/>
      <c r="V42" s="591"/>
      <c r="W42" s="591"/>
      <c r="X42" s="591"/>
      <c r="Y42" s="592"/>
    </row>
    <row r="43" spans="1:25" s="27" customFormat="1" ht="20.100000000000001" customHeight="1" x14ac:dyDescent="0.25">
      <c r="A43" s="550"/>
      <c r="B43" s="548"/>
      <c r="C43" s="585" t="s">
        <v>165</v>
      </c>
      <c r="D43" s="586"/>
      <c r="E43" s="195"/>
      <c r="F43" s="195"/>
      <c r="G43" s="191"/>
      <c r="H43" s="585" t="s">
        <v>165</v>
      </c>
      <c r="I43" s="586"/>
      <c r="J43" s="195"/>
      <c r="K43" s="195"/>
      <c r="L43" s="191"/>
      <c r="M43" s="597"/>
      <c r="N43" s="598"/>
      <c r="O43" s="598"/>
      <c r="P43" s="598"/>
      <c r="Q43" s="598"/>
      <c r="R43" s="598"/>
      <c r="S43" s="598"/>
      <c r="T43" s="598"/>
      <c r="U43" s="598"/>
      <c r="V43" s="598"/>
      <c r="W43" s="598"/>
      <c r="X43" s="598"/>
      <c r="Y43" s="599"/>
    </row>
    <row r="44" spans="1:25" ht="9.9499999999999993" customHeight="1" x14ac:dyDescent="0.25">
      <c r="A44" s="551"/>
      <c r="B44" s="548"/>
      <c r="C44" s="183"/>
      <c r="D44" s="183"/>
      <c r="E44" s="183"/>
      <c r="F44" s="183"/>
      <c r="G44" s="190"/>
      <c r="H44" s="183"/>
      <c r="I44" s="183"/>
      <c r="J44" s="183"/>
      <c r="K44" s="183"/>
      <c r="L44" s="190"/>
      <c r="M44" s="593"/>
      <c r="N44" s="594"/>
      <c r="O44" s="594"/>
      <c r="P44" s="594"/>
      <c r="Q44" s="594"/>
      <c r="R44" s="594"/>
      <c r="S44" s="594"/>
      <c r="T44" s="594"/>
      <c r="U44" s="594"/>
      <c r="V44" s="594"/>
      <c r="W44" s="594"/>
      <c r="X44" s="594"/>
      <c r="Y44" s="595"/>
    </row>
    <row r="45" spans="1:25" ht="9.9499999999999993" customHeight="1" x14ac:dyDescent="0.25">
      <c r="A45" s="549">
        <f t="shared" si="7"/>
        <v>13</v>
      </c>
      <c r="B45" s="548"/>
      <c r="C45" s="188"/>
      <c r="D45" s="188"/>
      <c r="E45" s="188"/>
      <c r="F45" s="188"/>
      <c r="G45" s="189"/>
      <c r="H45" s="188"/>
      <c r="I45" s="188"/>
      <c r="J45" s="188"/>
      <c r="K45" s="188"/>
      <c r="L45" s="189"/>
      <c r="M45" s="590"/>
      <c r="N45" s="591"/>
      <c r="O45" s="591"/>
      <c r="P45" s="591"/>
      <c r="Q45" s="591"/>
      <c r="R45" s="591"/>
      <c r="S45" s="591"/>
      <c r="T45" s="591"/>
      <c r="U45" s="591"/>
      <c r="V45" s="591"/>
      <c r="W45" s="591"/>
      <c r="X45" s="591"/>
      <c r="Y45" s="592"/>
    </row>
    <row r="46" spans="1:25" s="27" customFormat="1" ht="20.100000000000001" customHeight="1" x14ac:dyDescent="0.25">
      <c r="A46" s="550"/>
      <c r="B46" s="548"/>
      <c r="C46" s="585" t="s">
        <v>165</v>
      </c>
      <c r="D46" s="586"/>
      <c r="E46" s="195"/>
      <c r="F46" s="195"/>
      <c r="G46" s="191"/>
      <c r="H46" s="585" t="s">
        <v>165</v>
      </c>
      <c r="I46" s="586"/>
      <c r="J46" s="195"/>
      <c r="K46" s="195"/>
      <c r="L46" s="191"/>
      <c r="M46" s="597"/>
      <c r="N46" s="598"/>
      <c r="O46" s="598"/>
      <c r="P46" s="598"/>
      <c r="Q46" s="598"/>
      <c r="R46" s="598"/>
      <c r="S46" s="598"/>
      <c r="T46" s="598"/>
      <c r="U46" s="598"/>
      <c r="V46" s="598"/>
      <c r="W46" s="598"/>
      <c r="X46" s="598"/>
      <c r="Y46" s="599"/>
    </row>
    <row r="47" spans="1:25" ht="9.9499999999999993" customHeight="1" x14ac:dyDescent="0.25">
      <c r="A47" s="551"/>
      <c r="B47" s="548"/>
      <c r="C47" s="183"/>
      <c r="D47" s="183"/>
      <c r="E47" s="183"/>
      <c r="F47" s="183"/>
      <c r="G47" s="190"/>
      <c r="H47" s="183"/>
      <c r="I47" s="183"/>
      <c r="J47" s="183"/>
      <c r="K47" s="183"/>
      <c r="L47" s="190"/>
      <c r="M47" s="593"/>
      <c r="N47" s="594"/>
      <c r="O47" s="594"/>
      <c r="P47" s="594"/>
      <c r="Q47" s="594"/>
      <c r="R47" s="594"/>
      <c r="S47" s="594"/>
      <c r="T47" s="594"/>
      <c r="U47" s="594"/>
      <c r="V47" s="594"/>
      <c r="W47" s="594"/>
      <c r="X47" s="594"/>
      <c r="Y47" s="595"/>
    </row>
    <row r="48" spans="1:25" ht="9.9499999999999993" customHeight="1" x14ac:dyDescent="0.25">
      <c r="A48" s="549">
        <f t="shared" si="7"/>
        <v>14</v>
      </c>
      <c r="B48" s="548"/>
      <c r="C48" s="188"/>
      <c r="D48" s="188"/>
      <c r="E48" s="188"/>
      <c r="F48" s="188"/>
      <c r="G48" s="189"/>
      <c r="H48" s="188"/>
      <c r="I48" s="188"/>
      <c r="J48" s="188"/>
      <c r="K48" s="188"/>
      <c r="L48" s="189"/>
      <c r="M48" s="590"/>
      <c r="N48" s="591"/>
      <c r="O48" s="591"/>
      <c r="P48" s="591"/>
      <c r="Q48" s="591"/>
      <c r="R48" s="591"/>
      <c r="S48" s="591"/>
      <c r="T48" s="591"/>
      <c r="U48" s="591"/>
      <c r="V48" s="591"/>
      <c r="W48" s="591"/>
      <c r="X48" s="591"/>
      <c r="Y48" s="592"/>
    </row>
    <row r="49" spans="1:25" s="27" customFormat="1" ht="20.100000000000001" customHeight="1" x14ac:dyDescent="0.25">
      <c r="A49" s="550"/>
      <c r="B49" s="548"/>
      <c r="C49" s="585" t="s">
        <v>165</v>
      </c>
      <c r="D49" s="586"/>
      <c r="E49" s="195"/>
      <c r="F49" s="195"/>
      <c r="G49" s="191"/>
      <c r="H49" s="585" t="s">
        <v>165</v>
      </c>
      <c r="I49" s="586"/>
      <c r="J49" s="195"/>
      <c r="K49" s="195"/>
      <c r="L49" s="191"/>
      <c r="M49" s="597"/>
      <c r="N49" s="598"/>
      <c r="O49" s="598"/>
      <c r="P49" s="598"/>
      <c r="Q49" s="598"/>
      <c r="R49" s="598"/>
      <c r="S49" s="598"/>
      <c r="T49" s="598"/>
      <c r="U49" s="598"/>
      <c r="V49" s="598"/>
      <c r="W49" s="598"/>
      <c r="X49" s="598"/>
      <c r="Y49" s="599"/>
    </row>
    <row r="50" spans="1:25" ht="9.9499999999999993" customHeight="1" x14ac:dyDescent="0.25">
      <c r="A50" s="551"/>
      <c r="B50" s="548"/>
      <c r="C50" s="183"/>
      <c r="D50" s="183"/>
      <c r="E50" s="183"/>
      <c r="F50" s="183"/>
      <c r="G50" s="190"/>
      <c r="H50" s="183"/>
      <c r="I50" s="183"/>
      <c r="J50" s="183"/>
      <c r="K50" s="183"/>
      <c r="L50" s="190"/>
      <c r="M50" s="593"/>
      <c r="N50" s="594"/>
      <c r="O50" s="594"/>
      <c r="P50" s="594"/>
      <c r="Q50" s="594"/>
      <c r="R50" s="594"/>
      <c r="S50" s="594"/>
      <c r="T50" s="594"/>
      <c r="U50" s="594"/>
      <c r="V50" s="594"/>
      <c r="W50" s="594"/>
      <c r="X50" s="594"/>
      <c r="Y50" s="595"/>
    </row>
    <row r="51" spans="1:25" ht="9.9499999999999993" customHeight="1" x14ac:dyDescent="0.25">
      <c r="A51" s="549">
        <f t="shared" si="7"/>
        <v>15</v>
      </c>
      <c r="B51" s="548"/>
      <c r="C51" s="188"/>
      <c r="D51" s="188"/>
      <c r="E51" s="188"/>
      <c r="F51" s="188"/>
      <c r="G51" s="189"/>
      <c r="H51" s="188"/>
      <c r="I51" s="188"/>
      <c r="J51" s="188"/>
      <c r="K51" s="188"/>
      <c r="L51" s="189"/>
      <c r="M51" s="590"/>
      <c r="N51" s="591"/>
      <c r="O51" s="591"/>
      <c r="P51" s="591"/>
      <c r="Q51" s="591"/>
      <c r="R51" s="591"/>
      <c r="S51" s="591"/>
      <c r="T51" s="591"/>
      <c r="U51" s="591"/>
      <c r="V51" s="591"/>
      <c r="W51" s="591"/>
      <c r="X51" s="591"/>
      <c r="Y51" s="592"/>
    </row>
    <row r="52" spans="1:25" s="27" customFormat="1" ht="20.100000000000001" customHeight="1" x14ac:dyDescent="0.25">
      <c r="A52" s="550"/>
      <c r="B52" s="548"/>
      <c r="C52" s="585" t="s">
        <v>165</v>
      </c>
      <c r="D52" s="586"/>
      <c r="E52" s="195"/>
      <c r="F52" s="195"/>
      <c r="G52" s="191"/>
      <c r="H52" s="585" t="s">
        <v>165</v>
      </c>
      <c r="I52" s="586"/>
      <c r="J52" s="195"/>
      <c r="K52" s="195"/>
      <c r="L52" s="191"/>
      <c r="M52" s="597"/>
      <c r="N52" s="598"/>
      <c r="O52" s="598"/>
      <c r="P52" s="598"/>
      <c r="Q52" s="598"/>
      <c r="R52" s="598"/>
      <c r="S52" s="598"/>
      <c r="T52" s="598"/>
      <c r="U52" s="598"/>
      <c r="V52" s="598"/>
      <c r="W52" s="598"/>
      <c r="X52" s="598"/>
      <c r="Y52" s="599"/>
    </row>
    <row r="53" spans="1:25" ht="9.9499999999999993" customHeight="1" x14ac:dyDescent="0.25">
      <c r="A53" s="551"/>
      <c r="B53" s="548"/>
      <c r="C53" s="183"/>
      <c r="D53" s="183"/>
      <c r="E53" s="183"/>
      <c r="F53" s="183"/>
      <c r="G53" s="190"/>
      <c r="H53" s="183"/>
      <c r="I53" s="183"/>
      <c r="J53" s="183"/>
      <c r="K53" s="183"/>
      <c r="L53" s="190"/>
      <c r="M53" s="593"/>
      <c r="N53" s="594"/>
      <c r="O53" s="594"/>
      <c r="P53" s="594"/>
      <c r="Q53" s="594"/>
      <c r="R53" s="594"/>
      <c r="S53" s="594"/>
      <c r="T53" s="594"/>
      <c r="U53" s="594"/>
      <c r="V53" s="594"/>
      <c r="W53" s="594"/>
      <c r="X53" s="594"/>
      <c r="Y53" s="595"/>
    </row>
    <row r="54" spans="1:25" ht="9.9499999999999993" customHeight="1" x14ac:dyDescent="0.25">
      <c r="A54" s="549">
        <f t="shared" si="7"/>
        <v>16</v>
      </c>
      <c r="B54" s="548"/>
      <c r="C54" s="188"/>
      <c r="D54" s="188"/>
      <c r="E54" s="188"/>
      <c r="F54" s="188"/>
      <c r="G54" s="189"/>
      <c r="H54" s="188"/>
      <c r="I54" s="188"/>
      <c r="J54" s="188"/>
      <c r="K54" s="188"/>
      <c r="L54" s="189"/>
      <c r="M54" s="590"/>
      <c r="N54" s="591"/>
      <c r="O54" s="591"/>
      <c r="P54" s="591"/>
      <c r="Q54" s="591"/>
      <c r="R54" s="591"/>
      <c r="S54" s="591"/>
      <c r="T54" s="591"/>
      <c r="U54" s="591"/>
      <c r="V54" s="591"/>
      <c r="W54" s="591"/>
      <c r="X54" s="591"/>
      <c r="Y54" s="592"/>
    </row>
    <row r="55" spans="1:25" s="27" customFormat="1" ht="20.100000000000001" customHeight="1" x14ac:dyDescent="0.25">
      <c r="A55" s="550"/>
      <c r="B55" s="548"/>
      <c r="C55" s="585" t="s">
        <v>165</v>
      </c>
      <c r="D55" s="586"/>
      <c r="E55" s="195"/>
      <c r="F55" s="195"/>
      <c r="G55" s="191"/>
      <c r="H55" s="585" t="s">
        <v>165</v>
      </c>
      <c r="I55" s="586"/>
      <c r="J55" s="195"/>
      <c r="K55" s="195"/>
      <c r="L55" s="191"/>
      <c r="M55" s="597"/>
      <c r="N55" s="598"/>
      <c r="O55" s="598"/>
      <c r="P55" s="598"/>
      <c r="Q55" s="598"/>
      <c r="R55" s="598"/>
      <c r="S55" s="598"/>
      <c r="T55" s="598"/>
      <c r="U55" s="598"/>
      <c r="V55" s="598"/>
      <c r="W55" s="598"/>
      <c r="X55" s="598"/>
      <c r="Y55" s="599"/>
    </row>
    <row r="56" spans="1:25" ht="9.9499999999999993" customHeight="1" x14ac:dyDescent="0.25">
      <c r="A56" s="551"/>
      <c r="B56" s="548"/>
      <c r="C56" s="183"/>
      <c r="D56" s="183"/>
      <c r="E56" s="183"/>
      <c r="F56" s="183"/>
      <c r="G56" s="190"/>
      <c r="H56" s="183"/>
      <c r="I56" s="183"/>
      <c r="J56" s="183"/>
      <c r="K56" s="183"/>
      <c r="L56" s="190"/>
      <c r="M56" s="593"/>
      <c r="N56" s="594"/>
      <c r="O56" s="594"/>
      <c r="P56" s="594"/>
      <c r="Q56" s="594"/>
      <c r="R56" s="594"/>
      <c r="S56" s="594"/>
      <c r="T56" s="594"/>
      <c r="U56" s="594"/>
      <c r="V56" s="594"/>
      <c r="W56" s="594"/>
      <c r="X56" s="594"/>
      <c r="Y56" s="595"/>
    </row>
    <row r="57" spans="1:25" ht="9.9499999999999993" customHeight="1" x14ac:dyDescent="0.25">
      <c r="A57" s="549">
        <f t="shared" si="7"/>
        <v>17</v>
      </c>
      <c r="B57" s="548"/>
      <c r="C57" s="188"/>
      <c r="D57" s="188"/>
      <c r="E57" s="188"/>
      <c r="F57" s="188"/>
      <c r="G57" s="189"/>
      <c r="H57" s="188"/>
      <c r="I57" s="188"/>
      <c r="J57" s="188"/>
      <c r="K57" s="188"/>
      <c r="L57" s="189"/>
      <c r="M57" s="590"/>
      <c r="N57" s="591"/>
      <c r="O57" s="591"/>
      <c r="P57" s="591"/>
      <c r="Q57" s="591"/>
      <c r="R57" s="591"/>
      <c r="S57" s="591"/>
      <c r="T57" s="591"/>
      <c r="U57" s="591"/>
      <c r="V57" s="591"/>
      <c r="W57" s="591"/>
      <c r="X57" s="591"/>
      <c r="Y57" s="592"/>
    </row>
    <row r="58" spans="1:25" s="27" customFormat="1" ht="20.100000000000001" customHeight="1" x14ac:dyDescent="0.25">
      <c r="A58" s="550"/>
      <c r="B58" s="548"/>
      <c r="C58" s="585" t="s">
        <v>165</v>
      </c>
      <c r="D58" s="586"/>
      <c r="E58" s="195"/>
      <c r="F58" s="195"/>
      <c r="G58" s="191"/>
      <c r="H58" s="585" t="s">
        <v>165</v>
      </c>
      <c r="I58" s="586"/>
      <c r="J58" s="195"/>
      <c r="K58" s="195"/>
      <c r="L58" s="191"/>
      <c r="M58" s="597"/>
      <c r="N58" s="598"/>
      <c r="O58" s="598"/>
      <c r="P58" s="598"/>
      <c r="Q58" s="598"/>
      <c r="R58" s="598"/>
      <c r="S58" s="598"/>
      <c r="T58" s="598"/>
      <c r="U58" s="598"/>
      <c r="V58" s="598"/>
      <c r="W58" s="598"/>
      <c r="X58" s="598"/>
      <c r="Y58" s="599"/>
    </row>
    <row r="59" spans="1:25" ht="9.9499999999999993" customHeight="1" x14ac:dyDescent="0.25">
      <c r="A59" s="551"/>
      <c r="B59" s="548"/>
      <c r="C59" s="183"/>
      <c r="D59" s="183"/>
      <c r="E59" s="183"/>
      <c r="F59" s="183"/>
      <c r="G59" s="190"/>
      <c r="H59" s="183"/>
      <c r="I59" s="183"/>
      <c r="J59" s="183"/>
      <c r="K59" s="183"/>
      <c r="L59" s="190"/>
      <c r="M59" s="593"/>
      <c r="N59" s="594"/>
      <c r="O59" s="594"/>
      <c r="P59" s="594"/>
      <c r="Q59" s="594"/>
      <c r="R59" s="594"/>
      <c r="S59" s="594"/>
      <c r="T59" s="594"/>
      <c r="U59" s="594"/>
      <c r="V59" s="594"/>
      <c r="W59" s="594"/>
      <c r="X59" s="594"/>
      <c r="Y59" s="595"/>
    </row>
    <row r="60" spans="1:25" ht="9.9499999999999993" customHeight="1" x14ac:dyDescent="0.25">
      <c r="A60" s="549">
        <f t="shared" si="7"/>
        <v>18</v>
      </c>
      <c r="B60" s="548"/>
      <c r="C60" s="188"/>
      <c r="D60" s="188"/>
      <c r="E60" s="188"/>
      <c r="F60" s="188"/>
      <c r="G60" s="189"/>
      <c r="H60" s="188"/>
      <c r="I60" s="188"/>
      <c r="J60" s="188"/>
      <c r="K60" s="188"/>
      <c r="L60" s="189"/>
      <c r="M60" s="590"/>
      <c r="N60" s="591"/>
      <c r="O60" s="591"/>
      <c r="P60" s="591"/>
      <c r="Q60" s="591"/>
      <c r="R60" s="591"/>
      <c r="S60" s="591"/>
      <c r="T60" s="591"/>
      <c r="U60" s="591"/>
      <c r="V60" s="591"/>
      <c r="W60" s="591"/>
      <c r="X60" s="591"/>
      <c r="Y60" s="592"/>
    </row>
    <row r="61" spans="1:25" s="27" customFormat="1" ht="20.100000000000001" customHeight="1" x14ac:dyDescent="0.25">
      <c r="A61" s="550"/>
      <c r="B61" s="548"/>
      <c r="C61" s="585" t="s">
        <v>165</v>
      </c>
      <c r="D61" s="586"/>
      <c r="E61" s="195"/>
      <c r="F61" s="195"/>
      <c r="G61" s="191"/>
      <c r="H61" s="585" t="s">
        <v>165</v>
      </c>
      <c r="I61" s="586"/>
      <c r="J61" s="195"/>
      <c r="K61" s="195"/>
      <c r="L61" s="191"/>
      <c r="M61" s="597"/>
      <c r="N61" s="598"/>
      <c r="O61" s="598"/>
      <c r="P61" s="598"/>
      <c r="Q61" s="598"/>
      <c r="R61" s="598"/>
      <c r="S61" s="598"/>
      <c r="T61" s="598"/>
      <c r="U61" s="598"/>
      <c r="V61" s="598"/>
      <c r="W61" s="598"/>
      <c r="X61" s="598"/>
      <c r="Y61" s="599"/>
    </row>
    <row r="62" spans="1:25" ht="9.9499999999999993" customHeight="1" x14ac:dyDescent="0.25">
      <c r="A62" s="551"/>
      <c r="B62" s="548"/>
      <c r="C62" s="183"/>
      <c r="D62" s="183"/>
      <c r="E62" s="183"/>
      <c r="F62" s="183"/>
      <c r="G62" s="190"/>
      <c r="H62" s="183"/>
      <c r="I62" s="183"/>
      <c r="J62" s="183"/>
      <c r="K62" s="183"/>
      <c r="L62" s="190"/>
      <c r="M62" s="593"/>
      <c r="N62" s="594"/>
      <c r="O62" s="594"/>
      <c r="P62" s="594"/>
      <c r="Q62" s="594"/>
      <c r="R62" s="594"/>
      <c r="S62" s="594"/>
      <c r="T62" s="594"/>
      <c r="U62" s="594"/>
      <c r="V62" s="594"/>
      <c r="W62" s="594"/>
      <c r="X62" s="594"/>
      <c r="Y62" s="595"/>
    </row>
    <row r="63" spans="1:25" ht="9.9499999999999993" customHeight="1" x14ac:dyDescent="0.25">
      <c r="A63" s="549">
        <f t="shared" si="7"/>
        <v>19</v>
      </c>
      <c r="B63" s="548"/>
      <c r="C63" s="188"/>
      <c r="D63" s="188"/>
      <c r="E63" s="188"/>
      <c r="F63" s="188"/>
      <c r="G63" s="189"/>
      <c r="H63" s="188"/>
      <c r="I63" s="188"/>
      <c r="J63" s="188"/>
      <c r="K63" s="188"/>
      <c r="L63" s="189"/>
      <c r="M63" s="590"/>
      <c r="N63" s="591"/>
      <c r="O63" s="591"/>
      <c r="P63" s="591"/>
      <c r="Q63" s="591"/>
      <c r="R63" s="591"/>
      <c r="S63" s="591"/>
      <c r="T63" s="591"/>
      <c r="U63" s="591"/>
      <c r="V63" s="591"/>
      <c r="W63" s="591"/>
      <c r="X63" s="591"/>
      <c r="Y63" s="592"/>
    </row>
    <row r="64" spans="1:25" s="27" customFormat="1" ht="20.100000000000001" customHeight="1" x14ac:dyDescent="0.25">
      <c r="A64" s="550"/>
      <c r="B64" s="548"/>
      <c r="C64" s="585" t="s">
        <v>165</v>
      </c>
      <c r="D64" s="586"/>
      <c r="E64" s="195"/>
      <c r="F64" s="195"/>
      <c r="G64" s="191"/>
      <c r="H64" s="585" t="s">
        <v>165</v>
      </c>
      <c r="I64" s="586"/>
      <c r="J64" s="195"/>
      <c r="K64" s="195"/>
      <c r="L64" s="191"/>
      <c r="M64" s="597"/>
      <c r="N64" s="598"/>
      <c r="O64" s="598"/>
      <c r="P64" s="598"/>
      <c r="Q64" s="598"/>
      <c r="R64" s="598"/>
      <c r="S64" s="598"/>
      <c r="T64" s="598"/>
      <c r="U64" s="598"/>
      <c r="V64" s="598"/>
      <c r="W64" s="598"/>
      <c r="X64" s="598"/>
      <c r="Y64" s="599"/>
    </row>
    <row r="65" spans="1:25" ht="9.9499999999999993" customHeight="1" x14ac:dyDescent="0.25">
      <c r="A65" s="551"/>
      <c r="B65" s="548"/>
      <c r="C65" s="183"/>
      <c r="D65" s="183"/>
      <c r="E65" s="183"/>
      <c r="F65" s="183"/>
      <c r="G65" s="190"/>
      <c r="H65" s="183"/>
      <c r="I65" s="183"/>
      <c r="J65" s="183"/>
      <c r="K65" s="183"/>
      <c r="L65" s="190"/>
      <c r="M65" s="593"/>
      <c r="N65" s="594"/>
      <c r="O65" s="594"/>
      <c r="P65" s="594"/>
      <c r="Q65" s="594"/>
      <c r="R65" s="594"/>
      <c r="S65" s="594"/>
      <c r="T65" s="594"/>
      <c r="U65" s="594"/>
      <c r="V65" s="594"/>
      <c r="W65" s="594"/>
      <c r="X65" s="594"/>
      <c r="Y65" s="595"/>
    </row>
    <row r="66" spans="1:25" ht="9.9499999999999993" customHeight="1" x14ac:dyDescent="0.25">
      <c r="A66" s="549">
        <f t="shared" si="7"/>
        <v>20</v>
      </c>
      <c r="B66" s="548"/>
      <c r="C66" s="188"/>
      <c r="D66" s="188"/>
      <c r="E66" s="188"/>
      <c r="F66" s="188"/>
      <c r="G66" s="189"/>
      <c r="H66" s="188"/>
      <c r="I66" s="188"/>
      <c r="J66" s="188"/>
      <c r="K66" s="188"/>
      <c r="L66" s="189"/>
      <c r="M66" s="590"/>
      <c r="N66" s="591"/>
      <c r="O66" s="591"/>
      <c r="P66" s="591"/>
      <c r="Q66" s="591"/>
      <c r="R66" s="591"/>
      <c r="S66" s="591"/>
      <c r="T66" s="591"/>
      <c r="U66" s="591"/>
      <c r="V66" s="591"/>
      <c r="W66" s="591"/>
      <c r="X66" s="591"/>
      <c r="Y66" s="592"/>
    </row>
    <row r="67" spans="1:25" s="27" customFormat="1" ht="20.100000000000001" customHeight="1" x14ac:dyDescent="0.25">
      <c r="A67" s="550"/>
      <c r="B67" s="548"/>
      <c r="C67" s="585" t="s">
        <v>165</v>
      </c>
      <c r="D67" s="586"/>
      <c r="E67" s="195"/>
      <c r="F67" s="195"/>
      <c r="G67" s="191"/>
      <c r="H67" s="585" t="s">
        <v>165</v>
      </c>
      <c r="I67" s="586"/>
      <c r="J67" s="195"/>
      <c r="K67" s="195"/>
      <c r="L67" s="191"/>
      <c r="M67" s="597"/>
      <c r="N67" s="598"/>
      <c r="O67" s="598"/>
      <c r="P67" s="598"/>
      <c r="Q67" s="598"/>
      <c r="R67" s="598"/>
      <c r="S67" s="598"/>
      <c r="T67" s="598"/>
      <c r="U67" s="598"/>
      <c r="V67" s="598"/>
      <c r="W67" s="598"/>
      <c r="X67" s="598"/>
      <c r="Y67" s="599"/>
    </row>
    <row r="68" spans="1:25" ht="9.9499999999999993" customHeight="1" x14ac:dyDescent="0.25">
      <c r="A68" s="551"/>
      <c r="B68" s="548"/>
      <c r="C68" s="183"/>
      <c r="D68" s="183"/>
      <c r="E68" s="183"/>
      <c r="F68" s="183"/>
      <c r="G68" s="190"/>
      <c r="H68" s="183"/>
      <c r="I68" s="183"/>
      <c r="J68" s="183"/>
      <c r="K68" s="183"/>
      <c r="L68" s="190"/>
      <c r="M68" s="593"/>
      <c r="N68" s="594"/>
      <c r="O68" s="594"/>
      <c r="P68" s="594"/>
      <c r="Q68" s="594"/>
      <c r="R68" s="594"/>
      <c r="S68" s="594"/>
      <c r="T68" s="594"/>
      <c r="U68" s="594"/>
      <c r="V68" s="594"/>
      <c r="W68" s="594"/>
      <c r="X68" s="594"/>
      <c r="Y68" s="595"/>
    </row>
    <row r="69" spans="1:25" ht="9.9499999999999993" customHeight="1" x14ac:dyDescent="0.25">
      <c r="A69" s="549">
        <f t="shared" ref="A69:A96" si="8">1+A66</f>
        <v>21</v>
      </c>
      <c r="B69" s="548"/>
      <c r="C69" s="188"/>
      <c r="D69" s="188"/>
      <c r="E69" s="188"/>
      <c r="F69" s="188"/>
      <c r="G69" s="189"/>
      <c r="H69" s="188"/>
      <c r="I69" s="188"/>
      <c r="J69" s="188"/>
      <c r="K69" s="188"/>
      <c r="L69" s="189"/>
      <c r="M69" s="590"/>
      <c r="N69" s="591"/>
      <c r="O69" s="591"/>
      <c r="P69" s="591"/>
      <c r="Q69" s="591"/>
      <c r="R69" s="591"/>
      <c r="S69" s="591"/>
      <c r="T69" s="591"/>
      <c r="U69" s="591"/>
      <c r="V69" s="591"/>
      <c r="W69" s="591"/>
      <c r="X69" s="591"/>
      <c r="Y69" s="592"/>
    </row>
    <row r="70" spans="1:25" s="27" customFormat="1" ht="20.100000000000001" customHeight="1" x14ac:dyDescent="0.25">
      <c r="A70" s="550"/>
      <c r="B70" s="548"/>
      <c r="C70" s="585" t="s">
        <v>165</v>
      </c>
      <c r="D70" s="586"/>
      <c r="E70" s="195"/>
      <c r="F70" s="195"/>
      <c r="G70" s="191"/>
      <c r="H70" s="585" t="s">
        <v>165</v>
      </c>
      <c r="I70" s="586"/>
      <c r="J70" s="195"/>
      <c r="K70" s="195"/>
      <c r="L70" s="191"/>
      <c r="M70" s="597"/>
      <c r="N70" s="598"/>
      <c r="O70" s="598"/>
      <c r="P70" s="598"/>
      <c r="Q70" s="598"/>
      <c r="R70" s="598"/>
      <c r="S70" s="598"/>
      <c r="T70" s="598"/>
      <c r="U70" s="598"/>
      <c r="V70" s="598"/>
      <c r="W70" s="598"/>
      <c r="X70" s="598"/>
      <c r="Y70" s="599"/>
    </row>
    <row r="71" spans="1:25" ht="9.9499999999999993" customHeight="1" x14ac:dyDescent="0.25">
      <c r="A71" s="551"/>
      <c r="B71" s="548"/>
      <c r="C71" s="183"/>
      <c r="D71" s="183"/>
      <c r="E71" s="183"/>
      <c r="F71" s="183"/>
      <c r="G71" s="190"/>
      <c r="H71" s="183"/>
      <c r="I71" s="183"/>
      <c r="J71" s="183"/>
      <c r="K71" s="183"/>
      <c r="L71" s="190"/>
      <c r="M71" s="593"/>
      <c r="N71" s="594"/>
      <c r="O71" s="594"/>
      <c r="P71" s="594"/>
      <c r="Q71" s="594"/>
      <c r="R71" s="594"/>
      <c r="S71" s="594"/>
      <c r="T71" s="594"/>
      <c r="U71" s="594"/>
      <c r="V71" s="594"/>
      <c r="W71" s="594"/>
      <c r="X71" s="594"/>
      <c r="Y71" s="595"/>
    </row>
    <row r="72" spans="1:25" ht="9.9499999999999993" customHeight="1" x14ac:dyDescent="0.25">
      <c r="A72" s="549">
        <f t="shared" si="8"/>
        <v>22</v>
      </c>
      <c r="B72" s="548"/>
      <c r="C72" s="188"/>
      <c r="D72" s="188"/>
      <c r="E72" s="188"/>
      <c r="F72" s="188"/>
      <c r="G72" s="189"/>
      <c r="H72" s="188"/>
      <c r="I72" s="188"/>
      <c r="J72" s="188"/>
      <c r="K72" s="188"/>
      <c r="L72" s="189"/>
      <c r="M72" s="590"/>
      <c r="N72" s="591"/>
      <c r="O72" s="591"/>
      <c r="P72" s="591"/>
      <c r="Q72" s="591"/>
      <c r="R72" s="591"/>
      <c r="S72" s="591"/>
      <c r="T72" s="591"/>
      <c r="U72" s="591"/>
      <c r="V72" s="591"/>
      <c r="W72" s="591"/>
      <c r="X72" s="591"/>
      <c r="Y72" s="592"/>
    </row>
    <row r="73" spans="1:25" s="27" customFormat="1" ht="20.100000000000001" customHeight="1" x14ac:dyDescent="0.25">
      <c r="A73" s="550"/>
      <c r="B73" s="548"/>
      <c r="C73" s="585" t="s">
        <v>165</v>
      </c>
      <c r="D73" s="586"/>
      <c r="E73" s="195"/>
      <c r="F73" s="195"/>
      <c r="G73" s="191"/>
      <c r="H73" s="585" t="s">
        <v>165</v>
      </c>
      <c r="I73" s="586"/>
      <c r="J73" s="195"/>
      <c r="K73" s="195"/>
      <c r="L73" s="191"/>
      <c r="M73" s="597"/>
      <c r="N73" s="598"/>
      <c r="O73" s="598"/>
      <c r="P73" s="598"/>
      <c r="Q73" s="598"/>
      <c r="R73" s="598"/>
      <c r="S73" s="598"/>
      <c r="T73" s="598"/>
      <c r="U73" s="598"/>
      <c r="V73" s="598"/>
      <c r="W73" s="598"/>
      <c r="X73" s="598"/>
      <c r="Y73" s="599"/>
    </row>
    <row r="74" spans="1:25" ht="9.9499999999999993" customHeight="1" x14ac:dyDescent="0.25">
      <c r="A74" s="551"/>
      <c r="B74" s="548"/>
      <c r="C74" s="183"/>
      <c r="D74" s="183"/>
      <c r="E74" s="183"/>
      <c r="F74" s="183"/>
      <c r="G74" s="190"/>
      <c r="H74" s="183"/>
      <c r="I74" s="183"/>
      <c r="J74" s="183"/>
      <c r="K74" s="183"/>
      <c r="L74" s="190"/>
      <c r="M74" s="593"/>
      <c r="N74" s="594"/>
      <c r="O74" s="594"/>
      <c r="P74" s="594"/>
      <c r="Q74" s="594"/>
      <c r="R74" s="594"/>
      <c r="S74" s="594"/>
      <c r="T74" s="594"/>
      <c r="U74" s="594"/>
      <c r="V74" s="594"/>
      <c r="W74" s="594"/>
      <c r="X74" s="594"/>
      <c r="Y74" s="595"/>
    </row>
    <row r="75" spans="1:25" ht="9.9499999999999993" customHeight="1" x14ac:dyDescent="0.25">
      <c r="A75" s="549">
        <f t="shared" si="8"/>
        <v>23</v>
      </c>
      <c r="B75" s="548"/>
      <c r="C75" s="188"/>
      <c r="D75" s="188"/>
      <c r="E75" s="188"/>
      <c r="F75" s="188"/>
      <c r="G75" s="189"/>
      <c r="H75" s="188"/>
      <c r="I75" s="188"/>
      <c r="J75" s="188"/>
      <c r="K75" s="188"/>
      <c r="L75" s="189"/>
      <c r="M75" s="590"/>
      <c r="N75" s="591"/>
      <c r="O75" s="591"/>
      <c r="P75" s="591"/>
      <c r="Q75" s="591"/>
      <c r="R75" s="591"/>
      <c r="S75" s="591"/>
      <c r="T75" s="591"/>
      <c r="U75" s="591"/>
      <c r="V75" s="591"/>
      <c r="W75" s="591"/>
      <c r="X75" s="591"/>
      <c r="Y75" s="592"/>
    </row>
    <row r="76" spans="1:25" s="27" customFormat="1" ht="20.100000000000001" customHeight="1" x14ac:dyDescent="0.25">
      <c r="A76" s="550"/>
      <c r="B76" s="548"/>
      <c r="C76" s="585" t="s">
        <v>165</v>
      </c>
      <c r="D76" s="586"/>
      <c r="E76" s="195"/>
      <c r="F76" s="195"/>
      <c r="G76" s="191"/>
      <c r="H76" s="585" t="s">
        <v>165</v>
      </c>
      <c r="I76" s="586"/>
      <c r="J76" s="195"/>
      <c r="K76" s="195"/>
      <c r="L76" s="191"/>
      <c r="M76" s="597"/>
      <c r="N76" s="598"/>
      <c r="O76" s="598"/>
      <c r="P76" s="598"/>
      <c r="Q76" s="598"/>
      <c r="R76" s="598"/>
      <c r="S76" s="598"/>
      <c r="T76" s="598"/>
      <c r="U76" s="598"/>
      <c r="V76" s="598"/>
      <c r="W76" s="598"/>
      <c r="X76" s="598"/>
      <c r="Y76" s="599"/>
    </row>
    <row r="77" spans="1:25" ht="9.9499999999999993" customHeight="1" x14ac:dyDescent="0.25">
      <c r="A77" s="551"/>
      <c r="B77" s="548"/>
      <c r="C77" s="183"/>
      <c r="D77" s="183"/>
      <c r="E77" s="183"/>
      <c r="F77" s="183"/>
      <c r="G77" s="190"/>
      <c r="H77" s="183"/>
      <c r="I77" s="183"/>
      <c r="J77" s="183"/>
      <c r="K77" s="183"/>
      <c r="L77" s="190"/>
      <c r="M77" s="593"/>
      <c r="N77" s="594"/>
      <c r="O77" s="594"/>
      <c r="P77" s="594"/>
      <c r="Q77" s="594"/>
      <c r="R77" s="594"/>
      <c r="S77" s="594"/>
      <c r="T77" s="594"/>
      <c r="U77" s="594"/>
      <c r="V77" s="594"/>
      <c r="W77" s="594"/>
      <c r="X77" s="594"/>
      <c r="Y77" s="595"/>
    </row>
    <row r="78" spans="1:25" ht="9.9499999999999993" customHeight="1" x14ac:dyDescent="0.25">
      <c r="A78" s="549">
        <f t="shared" si="8"/>
        <v>24</v>
      </c>
      <c r="B78" s="548"/>
      <c r="C78" s="188"/>
      <c r="D78" s="188"/>
      <c r="E78" s="188"/>
      <c r="F78" s="188"/>
      <c r="G78" s="189"/>
      <c r="H78" s="188"/>
      <c r="I78" s="188"/>
      <c r="J78" s="188"/>
      <c r="K78" s="188"/>
      <c r="L78" s="189"/>
      <c r="M78" s="590"/>
      <c r="N78" s="591"/>
      <c r="O78" s="591"/>
      <c r="P78" s="591"/>
      <c r="Q78" s="591"/>
      <c r="R78" s="591"/>
      <c r="S78" s="591"/>
      <c r="T78" s="591"/>
      <c r="U78" s="591"/>
      <c r="V78" s="591"/>
      <c r="W78" s="591"/>
      <c r="X78" s="591"/>
      <c r="Y78" s="592"/>
    </row>
    <row r="79" spans="1:25" s="27" customFormat="1" ht="20.100000000000001" customHeight="1" x14ac:dyDescent="0.25">
      <c r="A79" s="550"/>
      <c r="B79" s="548"/>
      <c r="C79" s="585" t="s">
        <v>165</v>
      </c>
      <c r="D79" s="586"/>
      <c r="E79" s="195"/>
      <c r="F79" s="195"/>
      <c r="G79" s="191"/>
      <c r="H79" s="585" t="s">
        <v>165</v>
      </c>
      <c r="I79" s="586"/>
      <c r="J79" s="195"/>
      <c r="K79" s="195"/>
      <c r="L79" s="191"/>
      <c r="M79" s="597"/>
      <c r="N79" s="598"/>
      <c r="O79" s="598"/>
      <c r="P79" s="598"/>
      <c r="Q79" s="598"/>
      <c r="R79" s="598"/>
      <c r="S79" s="598"/>
      <c r="T79" s="598"/>
      <c r="U79" s="598"/>
      <c r="V79" s="598"/>
      <c r="W79" s="598"/>
      <c r="X79" s="598"/>
      <c r="Y79" s="599"/>
    </row>
    <row r="80" spans="1:25" ht="9.9499999999999993" customHeight="1" x14ac:dyDescent="0.25">
      <c r="A80" s="551"/>
      <c r="B80" s="548"/>
      <c r="C80" s="183"/>
      <c r="D80" s="183"/>
      <c r="E80" s="183"/>
      <c r="F80" s="183"/>
      <c r="G80" s="190"/>
      <c r="H80" s="183"/>
      <c r="I80" s="183"/>
      <c r="J80" s="183"/>
      <c r="K80" s="183"/>
      <c r="L80" s="190"/>
      <c r="M80" s="593"/>
      <c r="N80" s="594"/>
      <c r="O80" s="594"/>
      <c r="P80" s="594"/>
      <c r="Q80" s="594"/>
      <c r="R80" s="594"/>
      <c r="S80" s="594"/>
      <c r="T80" s="594"/>
      <c r="U80" s="594"/>
      <c r="V80" s="594"/>
      <c r="W80" s="594"/>
      <c r="X80" s="594"/>
      <c r="Y80" s="595"/>
    </row>
    <row r="81" spans="1:25" ht="9.9499999999999993" customHeight="1" x14ac:dyDescent="0.25">
      <c r="A81" s="549">
        <f t="shared" si="8"/>
        <v>25</v>
      </c>
      <c r="B81" s="548"/>
      <c r="C81" s="188"/>
      <c r="D81" s="188"/>
      <c r="E81" s="188"/>
      <c r="F81" s="188"/>
      <c r="G81" s="189"/>
      <c r="H81" s="188"/>
      <c r="I81" s="188"/>
      <c r="J81" s="188"/>
      <c r="K81" s="188"/>
      <c r="L81" s="189"/>
      <c r="M81" s="590"/>
      <c r="N81" s="591"/>
      <c r="O81" s="591"/>
      <c r="P81" s="591"/>
      <c r="Q81" s="591"/>
      <c r="R81" s="591"/>
      <c r="S81" s="591"/>
      <c r="T81" s="591"/>
      <c r="U81" s="591"/>
      <c r="V81" s="591"/>
      <c r="W81" s="591"/>
      <c r="X81" s="591"/>
      <c r="Y81" s="592"/>
    </row>
    <row r="82" spans="1:25" s="27" customFormat="1" ht="20.100000000000001" customHeight="1" x14ac:dyDescent="0.25">
      <c r="A82" s="550"/>
      <c r="B82" s="548"/>
      <c r="C82" s="585" t="s">
        <v>165</v>
      </c>
      <c r="D82" s="586"/>
      <c r="E82" s="195"/>
      <c r="F82" s="195"/>
      <c r="G82" s="191"/>
      <c r="H82" s="585" t="s">
        <v>165</v>
      </c>
      <c r="I82" s="586"/>
      <c r="J82" s="195"/>
      <c r="K82" s="195"/>
      <c r="L82" s="191"/>
      <c r="M82" s="597"/>
      <c r="N82" s="598"/>
      <c r="O82" s="598"/>
      <c r="P82" s="598"/>
      <c r="Q82" s="598"/>
      <c r="R82" s="598"/>
      <c r="S82" s="598"/>
      <c r="T82" s="598"/>
      <c r="U82" s="598"/>
      <c r="V82" s="598"/>
      <c r="W82" s="598"/>
      <c r="X82" s="598"/>
      <c r="Y82" s="599"/>
    </row>
    <row r="83" spans="1:25" ht="9.9499999999999993" customHeight="1" x14ac:dyDescent="0.25">
      <c r="A83" s="551"/>
      <c r="B83" s="548"/>
      <c r="C83" s="183"/>
      <c r="D83" s="183"/>
      <c r="E83" s="183"/>
      <c r="F83" s="183"/>
      <c r="G83" s="190"/>
      <c r="H83" s="183"/>
      <c r="I83" s="183"/>
      <c r="J83" s="183"/>
      <c r="K83" s="183"/>
      <c r="L83" s="190"/>
      <c r="M83" s="593"/>
      <c r="N83" s="594"/>
      <c r="O83" s="594"/>
      <c r="P83" s="594"/>
      <c r="Q83" s="594"/>
      <c r="R83" s="594"/>
      <c r="S83" s="594"/>
      <c r="T83" s="594"/>
      <c r="U83" s="594"/>
      <c r="V83" s="594"/>
      <c r="W83" s="594"/>
      <c r="X83" s="594"/>
      <c r="Y83" s="595"/>
    </row>
    <row r="84" spans="1:25" ht="9.9499999999999993" customHeight="1" x14ac:dyDescent="0.25">
      <c r="A84" s="549">
        <f t="shared" si="8"/>
        <v>26</v>
      </c>
      <c r="B84" s="548"/>
      <c r="C84" s="188"/>
      <c r="D84" s="188"/>
      <c r="E84" s="188"/>
      <c r="F84" s="188"/>
      <c r="G84" s="189"/>
      <c r="H84" s="188"/>
      <c r="I84" s="188"/>
      <c r="J84" s="188"/>
      <c r="K84" s="188"/>
      <c r="L84" s="189"/>
      <c r="M84" s="590"/>
      <c r="N84" s="591"/>
      <c r="O84" s="591"/>
      <c r="P84" s="591"/>
      <c r="Q84" s="591"/>
      <c r="R84" s="591"/>
      <c r="S84" s="591"/>
      <c r="T84" s="591"/>
      <c r="U84" s="591"/>
      <c r="V84" s="591"/>
      <c r="W84" s="591"/>
      <c r="X84" s="591"/>
      <c r="Y84" s="592"/>
    </row>
    <row r="85" spans="1:25" s="27" customFormat="1" ht="20.100000000000001" customHeight="1" x14ac:dyDescent="0.25">
      <c r="A85" s="550"/>
      <c r="B85" s="548"/>
      <c r="C85" s="585" t="s">
        <v>165</v>
      </c>
      <c r="D85" s="586"/>
      <c r="E85" s="195"/>
      <c r="F85" s="195"/>
      <c r="G85" s="191"/>
      <c r="H85" s="585" t="s">
        <v>165</v>
      </c>
      <c r="I85" s="586"/>
      <c r="J85" s="195"/>
      <c r="K85" s="195"/>
      <c r="L85" s="191"/>
      <c r="M85" s="597"/>
      <c r="N85" s="598"/>
      <c r="O85" s="598"/>
      <c r="P85" s="598"/>
      <c r="Q85" s="598"/>
      <c r="R85" s="598"/>
      <c r="S85" s="598"/>
      <c r="T85" s="598"/>
      <c r="U85" s="598"/>
      <c r="V85" s="598"/>
      <c r="W85" s="598"/>
      <c r="X85" s="598"/>
      <c r="Y85" s="599"/>
    </row>
    <row r="86" spans="1:25" ht="9.9499999999999993" customHeight="1" x14ac:dyDescent="0.25">
      <c r="A86" s="551"/>
      <c r="B86" s="548"/>
      <c r="C86" s="183"/>
      <c r="D86" s="183"/>
      <c r="E86" s="183"/>
      <c r="F86" s="183"/>
      <c r="G86" s="190"/>
      <c r="H86" s="183"/>
      <c r="I86" s="183"/>
      <c r="J86" s="183"/>
      <c r="K86" s="183"/>
      <c r="L86" s="190"/>
      <c r="M86" s="593"/>
      <c r="N86" s="594"/>
      <c r="O86" s="594"/>
      <c r="P86" s="594"/>
      <c r="Q86" s="594"/>
      <c r="R86" s="594"/>
      <c r="S86" s="594"/>
      <c r="T86" s="594"/>
      <c r="U86" s="594"/>
      <c r="V86" s="594"/>
      <c r="W86" s="594"/>
      <c r="X86" s="594"/>
      <c r="Y86" s="595"/>
    </row>
    <row r="87" spans="1:25" ht="9.9499999999999993" customHeight="1" x14ac:dyDescent="0.25">
      <c r="A87" s="549">
        <f t="shared" si="8"/>
        <v>27</v>
      </c>
      <c r="B87" s="548"/>
      <c r="C87" s="188"/>
      <c r="D87" s="188"/>
      <c r="E87" s="188"/>
      <c r="F87" s="188"/>
      <c r="G87" s="189"/>
      <c r="H87" s="188"/>
      <c r="I87" s="188"/>
      <c r="J87" s="188"/>
      <c r="K87" s="188"/>
      <c r="L87" s="189"/>
      <c r="M87" s="590"/>
      <c r="N87" s="591"/>
      <c r="O87" s="591"/>
      <c r="P87" s="591"/>
      <c r="Q87" s="591"/>
      <c r="R87" s="591"/>
      <c r="S87" s="591"/>
      <c r="T87" s="591"/>
      <c r="U87" s="591"/>
      <c r="V87" s="591"/>
      <c r="W87" s="591"/>
      <c r="X87" s="591"/>
      <c r="Y87" s="592"/>
    </row>
    <row r="88" spans="1:25" s="27" customFormat="1" ht="20.100000000000001" customHeight="1" x14ac:dyDescent="0.25">
      <c r="A88" s="550"/>
      <c r="B88" s="548"/>
      <c r="C88" s="585" t="s">
        <v>165</v>
      </c>
      <c r="D88" s="586"/>
      <c r="E88" s="195"/>
      <c r="F88" s="195"/>
      <c r="G88" s="191"/>
      <c r="H88" s="585" t="s">
        <v>165</v>
      </c>
      <c r="I88" s="586"/>
      <c r="J88" s="195"/>
      <c r="K88" s="195"/>
      <c r="L88" s="191"/>
      <c r="M88" s="597"/>
      <c r="N88" s="598"/>
      <c r="O88" s="598"/>
      <c r="P88" s="598"/>
      <c r="Q88" s="598"/>
      <c r="R88" s="598"/>
      <c r="S88" s="598"/>
      <c r="T88" s="598"/>
      <c r="U88" s="598"/>
      <c r="V88" s="598"/>
      <c r="W88" s="598"/>
      <c r="X88" s="598"/>
      <c r="Y88" s="599"/>
    </row>
    <row r="89" spans="1:25" ht="9.9499999999999993" customHeight="1" x14ac:dyDescent="0.25">
      <c r="A89" s="551"/>
      <c r="B89" s="548"/>
      <c r="C89" s="183"/>
      <c r="D89" s="183"/>
      <c r="E89" s="183"/>
      <c r="F89" s="183"/>
      <c r="G89" s="190"/>
      <c r="H89" s="183"/>
      <c r="I89" s="183"/>
      <c r="J89" s="183"/>
      <c r="K89" s="183"/>
      <c r="L89" s="190"/>
      <c r="M89" s="593"/>
      <c r="N89" s="594"/>
      <c r="O89" s="594"/>
      <c r="P89" s="594"/>
      <c r="Q89" s="594"/>
      <c r="R89" s="594"/>
      <c r="S89" s="594"/>
      <c r="T89" s="594"/>
      <c r="U89" s="594"/>
      <c r="V89" s="594"/>
      <c r="W89" s="594"/>
      <c r="X89" s="594"/>
      <c r="Y89" s="595"/>
    </row>
    <row r="90" spans="1:25" ht="9.9499999999999993" customHeight="1" x14ac:dyDescent="0.25">
      <c r="A90" s="549">
        <f t="shared" si="8"/>
        <v>28</v>
      </c>
      <c r="B90" s="548"/>
      <c r="C90" s="188"/>
      <c r="D90" s="188"/>
      <c r="E90" s="188"/>
      <c r="F90" s="188"/>
      <c r="G90" s="189"/>
      <c r="H90" s="188"/>
      <c r="I90" s="188"/>
      <c r="J90" s="188"/>
      <c r="K90" s="188"/>
      <c r="L90" s="189"/>
      <c r="M90" s="590"/>
      <c r="N90" s="591"/>
      <c r="O90" s="591"/>
      <c r="P90" s="591"/>
      <c r="Q90" s="591"/>
      <c r="R90" s="591"/>
      <c r="S90" s="591"/>
      <c r="T90" s="591"/>
      <c r="U90" s="591"/>
      <c r="V90" s="591"/>
      <c r="W90" s="591"/>
      <c r="X90" s="591"/>
      <c r="Y90" s="592"/>
    </row>
    <row r="91" spans="1:25" s="27" customFormat="1" ht="20.100000000000001" customHeight="1" x14ac:dyDescent="0.25">
      <c r="A91" s="550"/>
      <c r="B91" s="548"/>
      <c r="C91" s="585" t="s">
        <v>165</v>
      </c>
      <c r="D91" s="586"/>
      <c r="E91" s="195"/>
      <c r="F91" s="195"/>
      <c r="G91" s="191"/>
      <c r="H91" s="585" t="s">
        <v>165</v>
      </c>
      <c r="I91" s="586"/>
      <c r="J91" s="195"/>
      <c r="K91" s="195"/>
      <c r="L91" s="191"/>
      <c r="M91" s="597"/>
      <c r="N91" s="598"/>
      <c r="O91" s="598"/>
      <c r="P91" s="598"/>
      <c r="Q91" s="598"/>
      <c r="R91" s="598"/>
      <c r="S91" s="598"/>
      <c r="T91" s="598"/>
      <c r="U91" s="598"/>
      <c r="V91" s="598"/>
      <c r="W91" s="598"/>
      <c r="X91" s="598"/>
      <c r="Y91" s="599"/>
    </row>
    <row r="92" spans="1:25" ht="9.9499999999999993" customHeight="1" x14ac:dyDescent="0.25">
      <c r="A92" s="551"/>
      <c r="B92" s="548"/>
      <c r="C92" s="183"/>
      <c r="D92" s="183"/>
      <c r="E92" s="183"/>
      <c r="F92" s="183"/>
      <c r="G92" s="190"/>
      <c r="H92" s="183"/>
      <c r="I92" s="183"/>
      <c r="J92" s="183"/>
      <c r="K92" s="183"/>
      <c r="L92" s="190"/>
      <c r="M92" s="593"/>
      <c r="N92" s="594"/>
      <c r="O92" s="594"/>
      <c r="P92" s="594"/>
      <c r="Q92" s="594"/>
      <c r="R92" s="594"/>
      <c r="S92" s="594"/>
      <c r="T92" s="594"/>
      <c r="U92" s="594"/>
      <c r="V92" s="594"/>
      <c r="W92" s="594"/>
      <c r="X92" s="594"/>
      <c r="Y92" s="595"/>
    </row>
    <row r="93" spans="1:25" ht="9.9499999999999993" customHeight="1" x14ac:dyDescent="0.25">
      <c r="A93" s="549">
        <f t="shared" si="8"/>
        <v>29</v>
      </c>
      <c r="B93" s="548"/>
      <c r="C93" s="188"/>
      <c r="D93" s="188"/>
      <c r="E93" s="188"/>
      <c r="F93" s="188"/>
      <c r="G93" s="189"/>
      <c r="H93" s="188"/>
      <c r="I93" s="188"/>
      <c r="J93" s="188"/>
      <c r="K93" s="188"/>
      <c r="L93" s="189"/>
      <c r="M93" s="590"/>
      <c r="N93" s="591"/>
      <c r="O93" s="591"/>
      <c r="P93" s="591"/>
      <c r="Q93" s="591"/>
      <c r="R93" s="591"/>
      <c r="S93" s="591"/>
      <c r="T93" s="591"/>
      <c r="U93" s="591"/>
      <c r="V93" s="591"/>
      <c r="W93" s="591"/>
      <c r="X93" s="591"/>
      <c r="Y93" s="592"/>
    </row>
    <row r="94" spans="1:25" s="27" customFormat="1" ht="20.100000000000001" customHeight="1" x14ac:dyDescent="0.25">
      <c r="A94" s="550"/>
      <c r="B94" s="548"/>
      <c r="C94" s="585" t="s">
        <v>165</v>
      </c>
      <c r="D94" s="586"/>
      <c r="E94" s="195"/>
      <c r="F94" s="195"/>
      <c r="G94" s="191"/>
      <c r="H94" s="585" t="s">
        <v>165</v>
      </c>
      <c r="I94" s="586"/>
      <c r="J94" s="195"/>
      <c r="K94" s="195"/>
      <c r="L94" s="191"/>
      <c r="M94" s="597"/>
      <c r="N94" s="598"/>
      <c r="O94" s="598"/>
      <c r="P94" s="598"/>
      <c r="Q94" s="598"/>
      <c r="R94" s="598"/>
      <c r="S94" s="598"/>
      <c r="T94" s="598"/>
      <c r="U94" s="598"/>
      <c r="V94" s="598"/>
      <c r="W94" s="598"/>
      <c r="X94" s="598"/>
      <c r="Y94" s="599"/>
    </row>
    <row r="95" spans="1:25" ht="9.9499999999999993" customHeight="1" x14ac:dyDescent="0.25">
      <c r="A95" s="551"/>
      <c r="B95" s="548"/>
      <c r="C95" s="183"/>
      <c r="D95" s="183"/>
      <c r="E95" s="183"/>
      <c r="F95" s="183"/>
      <c r="G95" s="190"/>
      <c r="H95" s="183"/>
      <c r="I95" s="183"/>
      <c r="J95" s="183"/>
      <c r="K95" s="183"/>
      <c r="L95" s="190"/>
      <c r="M95" s="593"/>
      <c r="N95" s="594"/>
      <c r="O95" s="594"/>
      <c r="P95" s="594"/>
      <c r="Q95" s="594"/>
      <c r="R95" s="594"/>
      <c r="S95" s="594"/>
      <c r="T95" s="594"/>
      <c r="U95" s="594"/>
      <c r="V95" s="594"/>
      <c r="W95" s="594"/>
      <c r="X95" s="594"/>
      <c r="Y95" s="595"/>
    </row>
    <row r="96" spans="1:25" ht="9.9499999999999993" customHeight="1" x14ac:dyDescent="0.25">
      <c r="A96" s="549">
        <f t="shared" si="8"/>
        <v>30</v>
      </c>
      <c r="B96" s="548"/>
      <c r="C96" s="188"/>
      <c r="D96" s="188"/>
      <c r="E96" s="188"/>
      <c r="F96" s="188"/>
      <c r="G96" s="189"/>
      <c r="H96" s="188"/>
      <c r="I96" s="188"/>
      <c r="J96" s="188"/>
      <c r="K96" s="188"/>
      <c r="L96" s="189"/>
      <c r="M96" s="590"/>
      <c r="N96" s="591"/>
      <c r="O96" s="591"/>
      <c r="P96" s="591"/>
      <c r="Q96" s="591"/>
      <c r="R96" s="591"/>
      <c r="S96" s="591"/>
      <c r="T96" s="591"/>
      <c r="U96" s="591"/>
      <c r="V96" s="591"/>
      <c r="W96" s="591"/>
      <c r="X96" s="591"/>
      <c r="Y96" s="592"/>
    </row>
    <row r="97" spans="1:25" s="27" customFormat="1" ht="20.100000000000001" customHeight="1" x14ac:dyDescent="0.25">
      <c r="A97" s="550"/>
      <c r="B97" s="548"/>
      <c r="C97" s="585" t="s">
        <v>165</v>
      </c>
      <c r="D97" s="586"/>
      <c r="E97" s="195"/>
      <c r="F97" s="195"/>
      <c r="G97" s="191"/>
      <c r="H97" s="585" t="s">
        <v>165</v>
      </c>
      <c r="I97" s="586"/>
      <c r="J97" s="195"/>
      <c r="K97" s="195"/>
      <c r="L97" s="191"/>
      <c r="M97" s="597"/>
      <c r="N97" s="598"/>
      <c r="O97" s="598"/>
      <c r="P97" s="598"/>
      <c r="Q97" s="598"/>
      <c r="R97" s="598"/>
      <c r="S97" s="598"/>
      <c r="T97" s="598"/>
      <c r="U97" s="598"/>
      <c r="V97" s="598"/>
      <c r="W97" s="598"/>
      <c r="X97" s="598"/>
      <c r="Y97" s="599"/>
    </row>
    <row r="98" spans="1:25" ht="9.9499999999999993" customHeight="1" x14ac:dyDescent="0.25">
      <c r="A98" s="551"/>
      <c r="B98" s="548"/>
      <c r="C98" s="183"/>
      <c r="D98" s="183"/>
      <c r="E98" s="183"/>
      <c r="F98" s="183"/>
      <c r="G98" s="190"/>
      <c r="H98" s="183"/>
      <c r="I98" s="183"/>
      <c r="J98" s="183"/>
      <c r="K98" s="183"/>
      <c r="L98" s="190"/>
      <c r="M98" s="593"/>
      <c r="N98" s="594"/>
      <c r="O98" s="594"/>
      <c r="P98" s="594"/>
      <c r="Q98" s="594"/>
      <c r="R98" s="594"/>
      <c r="S98" s="594"/>
      <c r="T98" s="594"/>
      <c r="U98" s="594"/>
      <c r="V98" s="594"/>
      <c r="W98" s="594"/>
      <c r="X98" s="594"/>
      <c r="Y98" s="595"/>
    </row>
    <row r="99" spans="1:25" ht="9.9499999999999993" customHeight="1" x14ac:dyDescent="0.25">
      <c r="A99" s="549">
        <f t="shared" ref="A99:A126" si="9">1+A96</f>
        <v>31</v>
      </c>
      <c r="B99" s="548"/>
      <c r="C99" s="188"/>
      <c r="D99" s="188"/>
      <c r="E99" s="188"/>
      <c r="F99" s="188"/>
      <c r="G99" s="189"/>
      <c r="H99" s="188"/>
      <c r="I99" s="188"/>
      <c r="J99" s="188"/>
      <c r="K99" s="188"/>
      <c r="L99" s="189"/>
      <c r="M99" s="590"/>
      <c r="N99" s="591"/>
      <c r="O99" s="591"/>
      <c r="P99" s="591"/>
      <c r="Q99" s="591"/>
      <c r="R99" s="591"/>
      <c r="S99" s="591"/>
      <c r="T99" s="591"/>
      <c r="U99" s="591"/>
      <c r="V99" s="591"/>
      <c r="W99" s="591"/>
      <c r="X99" s="591"/>
      <c r="Y99" s="592"/>
    </row>
    <row r="100" spans="1:25" s="27" customFormat="1" ht="20.100000000000001" customHeight="1" x14ac:dyDescent="0.25">
      <c r="A100" s="550"/>
      <c r="B100" s="548"/>
      <c r="C100" s="585" t="s">
        <v>165</v>
      </c>
      <c r="D100" s="586"/>
      <c r="E100" s="195"/>
      <c r="F100" s="195"/>
      <c r="G100" s="191"/>
      <c r="H100" s="585" t="s">
        <v>165</v>
      </c>
      <c r="I100" s="586"/>
      <c r="J100" s="195"/>
      <c r="K100" s="195"/>
      <c r="L100" s="191"/>
      <c r="M100" s="597"/>
      <c r="N100" s="598"/>
      <c r="O100" s="598"/>
      <c r="P100" s="598"/>
      <c r="Q100" s="598"/>
      <c r="R100" s="598"/>
      <c r="S100" s="598"/>
      <c r="T100" s="598"/>
      <c r="U100" s="598"/>
      <c r="V100" s="598"/>
      <c r="W100" s="598"/>
      <c r="X100" s="598"/>
      <c r="Y100" s="599"/>
    </row>
    <row r="101" spans="1:25" ht="9.9499999999999993" customHeight="1" x14ac:dyDescent="0.25">
      <c r="A101" s="551"/>
      <c r="B101" s="548"/>
      <c r="C101" s="183"/>
      <c r="D101" s="183"/>
      <c r="E101" s="183"/>
      <c r="F101" s="183"/>
      <c r="G101" s="190"/>
      <c r="H101" s="183"/>
      <c r="I101" s="183"/>
      <c r="J101" s="183"/>
      <c r="K101" s="183"/>
      <c r="L101" s="190"/>
      <c r="M101" s="593"/>
      <c r="N101" s="594"/>
      <c r="O101" s="594"/>
      <c r="P101" s="594"/>
      <c r="Q101" s="594"/>
      <c r="R101" s="594"/>
      <c r="S101" s="594"/>
      <c r="T101" s="594"/>
      <c r="U101" s="594"/>
      <c r="V101" s="594"/>
      <c r="W101" s="594"/>
      <c r="X101" s="594"/>
      <c r="Y101" s="595"/>
    </row>
    <row r="102" spans="1:25" ht="9.9499999999999993" customHeight="1" x14ac:dyDescent="0.25">
      <c r="A102" s="549">
        <f t="shared" si="9"/>
        <v>32</v>
      </c>
      <c r="B102" s="548"/>
      <c r="C102" s="188"/>
      <c r="D102" s="188"/>
      <c r="E102" s="188"/>
      <c r="F102" s="188"/>
      <c r="G102" s="189"/>
      <c r="H102" s="188"/>
      <c r="I102" s="188"/>
      <c r="J102" s="188"/>
      <c r="K102" s="188"/>
      <c r="L102" s="189"/>
      <c r="M102" s="590"/>
      <c r="N102" s="591"/>
      <c r="O102" s="591"/>
      <c r="P102" s="591"/>
      <c r="Q102" s="591"/>
      <c r="R102" s="591"/>
      <c r="S102" s="591"/>
      <c r="T102" s="591"/>
      <c r="U102" s="591"/>
      <c r="V102" s="591"/>
      <c r="W102" s="591"/>
      <c r="X102" s="591"/>
      <c r="Y102" s="592"/>
    </row>
    <row r="103" spans="1:25" s="27" customFormat="1" ht="20.100000000000001" customHeight="1" x14ac:dyDescent="0.25">
      <c r="A103" s="550"/>
      <c r="B103" s="548"/>
      <c r="C103" s="585" t="s">
        <v>165</v>
      </c>
      <c r="D103" s="586"/>
      <c r="E103" s="195"/>
      <c r="F103" s="195"/>
      <c r="G103" s="191"/>
      <c r="H103" s="585" t="s">
        <v>165</v>
      </c>
      <c r="I103" s="586"/>
      <c r="J103" s="195"/>
      <c r="K103" s="195"/>
      <c r="L103" s="191"/>
      <c r="M103" s="597"/>
      <c r="N103" s="598"/>
      <c r="O103" s="598"/>
      <c r="P103" s="598"/>
      <c r="Q103" s="598"/>
      <c r="R103" s="598"/>
      <c r="S103" s="598"/>
      <c r="T103" s="598"/>
      <c r="U103" s="598"/>
      <c r="V103" s="598"/>
      <c r="W103" s="598"/>
      <c r="X103" s="598"/>
      <c r="Y103" s="599"/>
    </row>
    <row r="104" spans="1:25" ht="9.9499999999999993" customHeight="1" x14ac:dyDescent="0.25">
      <c r="A104" s="551"/>
      <c r="B104" s="548"/>
      <c r="C104" s="183"/>
      <c r="D104" s="183"/>
      <c r="E104" s="183"/>
      <c r="F104" s="183"/>
      <c r="G104" s="190"/>
      <c r="H104" s="183"/>
      <c r="I104" s="183"/>
      <c r="J104" s="183"/>
      <c r="K104" s="183"/>
      <c r="L104" s="190"/>
      <c r="M104" s="593"/>
      <c r="N104" s="594"/>
      <c r="O104" s="594"/>
      <c r="P104" s="594"/>
      <c r="Q104" s="594"/>
      <c r="R104" s="594"/>
      <c r="S104" s="594"/>
      <c r="T104" s="594"/>
      <c r="U104" s="594"/>
      <c r="V104" s="594"/>
      <c r="W104" s="594"/>
      <c r="X104" s="594"/>
      <c r="Y104" s="595"/>
    </row>
    <row r="105" spans="1:25" ht="9.9499999999999993" customHeight="1" x14ac:dyDescent="0.25">
      <c r="A105" s="549">
        <f t="shared" si="9"/>
        <v>33</v>
      </c>
      <c r="B105" s="548"/>
      <c r="C105" s="188"/>
      <c r="D105" s="188"/>
      <c r="E105" s="188"/>
      <c r="F105" s="188"/>
      <c r="G105" s="189"/>
      <c r="H105" s="188"/>
      <c r="I105" s="188"/>
      <c r="J105" s="188"/>
      <c r="K105" s="188"/>
      <c r="L105" s="189"/>
      <c r="M105" s="590"/>
      <c r="N105" s="591"/>
      <c r="O105" s="591"/>
      <c r="P105" s="591"/>
      <c r="Q105" s="591"/>
      <c r="R105" s="591"/>
      <c r="S105" s="591"/>
      <c r="T105" s="591"/>
      <c r="U105" s="591"/>
      <c r="V105" s="591"/>
      <c r="W105" s="591"/>
      <c r="X105" s="591"/>
      <c r="Y105" s="592"/>
    </row>
    <row r="106" spans="1:25" s="27" customFormat="1" ht="20.100000000000001" customHeight="1" x14ac:dyDescent="0.25">
      <c r="A106" s="550"/>
      <c r="B106" s="548"/>
      <c r="C106" s="585" t="s">
        <v>165</v>
      </c>
      <c r="D106" s="586"/>
      <c r="E106" s="195"/>
      <c r="F106" s="195"/>
      <c r="G106" s="191"/>
      <c r="H106" s="585" t="s">
        <v>165</v>
      </c>
      <c r="I106" s="586"/>
      <c r="J106" s="195"/>
      <c r="K106" s="195"/>
      <c r="L106" s="191"/>
      <c r="M106" s="597"/>
      <c r="N106" s="598"/>
      <c r="O106" s="598"/>
      <c r="P106" s="598"/>
      <c r="Q106" s="598"/>
      <c r="R106" s="598"/>
      <c r="S106" s="598"/>
      <c r="T106" s="598"/>
      <c r="U106" s="598"/>
      <c r="V106" s="598"/>
      <c r="W106" s="598"/>
      <c r="X106" s="598"/>
      <c r="Y106" s="599"/>
    </row>
    <row r="107" spans="1:25" ht="9.9499999999999993" customHeight="1" x14ac:dyDescent="0.25">
      <c r="A107" s="551"/>
      <c r="B107" s="548"/>
      <c r="C107" s="183"/>
      <c r="D107" s="183"/>
      <c r="E107" s="183"/>
      <c r="F107" s="183"/>
      <c r="G107" s="190"/>
      <c r="H107" s="183"/>
      <c r="I107" s="183"/>
      <c r="J107" s="183"/>
      <c r="K107" s="183"/>
      <c r="L107" s="190"/>
      <c r="M107" s="593"/>
      <c r="N107" s="594"/>
      <c r="O107" s="594"/>
      <c r="P107" s="594"/>
      <c r="Q107" s="594"/>
      <c r="R107" s="594"/>
      <c r="S107" s="594"/>
      <c r="T107" s="594"/>
      <c r="U107" s="594"/>
      <c r="V107" s="594"/>
      <c r="W107" s="594"/>
      <c r="X107" s="594"/>
      <c r="Y107" s="595"/>
    </row>
    <row r="108" spans="1:25" ht="9.9499999999999993" customHeight="1" x14ac:dyDescent="0.25">
      <c r="A108" s="549">
        <f t="shared" si="9"/>
        <v>34</v>
      </c>
      <c r="B108" s="548"/>
      <c r="C108" s="188"/>
      <c r="D108" s="188"/>
      <c r="E108" s="188"/>
      <c r="F108" s="188"/>
      <c r="G108" s="189"/>
      <c r="H108" s="188"/>
      <c r="I108" s="188"/>
      <c r="J108" s="188"/>
      <c r="K108" s="188"/>
      <c r="L108" s="189"/>
      <c r="M108" s="590"/>
      <c r="N108" s="591"/>
      <c r="O108" s="591"/>
      <c r="P108" s="591"/>
      <c r="Q108" s="591"/>
      <c r="R108" s="591"/>
      <c r="S108" s="591"/>
      <c r="T108" s="591"/>
      <c r="U108" s="591"/>
      <c r="V108" s="591"/>
      <c r="W108" s="591"/>
      <c r="X108" s="591"/>
      <c r="Y108" s="592"/>
    </row>
    <row r="109" spans="1:25" s="27" customFormat="1" ht="20.100000000000001" customHeight="1" x14ac:dyDescent="0.25">
      <c r="A109" s="550"/>
      <c r="B109" s="548"/>
      <c r="C109" s="585" t="s">
        <v>165</v>
      </c>
      <c r="D109" s="586"/>
      <c r="E109" s="195"/>
      <c r="F109" s="195"/>
      <c r="G109" s="191"/>
      <c r="H109" s="585" t="s">
        <v>165</v>
      </c>
      <c r="I109" s="586"/>
      <c r="J109" s="195"/>
      <c r="K109" s="195"/>
      <c r="L109" s="191"/>
      <c r="M109" s="597"/>
      <c r="N109" s="598"/>
      <c r="O109" s="598"/>
      <c r="P109" s="598"/>
      <c r="Q109" s="598"/>
      <c r="R109" s="598"/>
      <c r="S109" s="598"/>
      <c r="T109" s="598"/>
      <c r="U109" s="598"/>
      <c r="V109" s="598"/>
      <c r="W109" s="598"/>
      <c r="X109" s="598"/>
      <c r="Y109" s="599"/>
    </row>
    <row r="110" spans="1:25" ht="9.9499999999999993" customHeight="1" x14ac:dyDescent="0.25">
      <c r="A110" s="551"/>
      <c r="B110" s="548"/>
      <c r="C110" s="183"/>
      <c r="D110" s="183"/>
      <c r="E110" s="183"/>
      <c r="F110" s="183"/>
      <c r="G110" s="190"/>
      <c r="H110" s="183"/>
      <c r="I110" s="183"/>
      <c r="J110" s="183"/>
      <c r="K110" s="183"/>
      <c r="L110" s="190"/>
      <c r="M110" s="593"/>
      <c r="N110" s="594"/>
      <c r="O110" s="594"/>
      <c r="P110" s="594"/>
      <c r="Q110" s="594"/>
      <c r="R110" s="594"/>
      <c r="S110" s="594"/>
      <c r="T110" s="594"/>
      <c r="U110" s="594"/>
      <c r="V110" s="594"/>
      <c r="W110" s="594"/>
      <c r="X110" s="594"/>
      <c r="Y110" s="595"/>
    </row>
    <row r="111" spans="1:25" ht="9.9499999999999993" customHeight="1" x14ac:dyDescent="0.25">
      <c r="A111" s="549">
        <f t="shared" si="9"/>
        <v>35</v>
      </c>
      <c r="B111" s="548"/>
      <c r="C111" s="188"/>
      <c r="D111" s="188"/>
      <c r="E111" s="188"/>
      <c r="F111" s="188"/>
      <c r="G111" s="189"/>
      <c r="H111" s="188"/>
      <c r="I111" s="188"/>
      <c r="J111" s="188"/>
      <c r="K111" s="188"/>
      <c r="L111" s="189"/>
      <c r="M111" s="590"/>
      <c r="N111" s="591"/>
      <c r="O111" s="591"/>
      <c r="P111" s="591"/>
      <c r="Q111" s="591"/>
      <c r="R111" s="591"/>
      <c r="S111" s="591"/>
      <c r="T111" s="591"/>
      <c r="U111" s="591"/>
      <c r="V111" s="591"/>
      <c r="W111" s="591"/>
      <c r="X111" s="591"/>
      <c r="Y111" s="592"/>
    </row>
    <row r="112" spans="1:25" s="27" customFormat="1" ht="20.100000000000001" customHeight="1" x14ac:dyDescent="0.25">
      <c r="A112" s="550"/>
      <c r="B112" s="548"/>
      <c r="C112" s="585" t="s">
        <v>165</v>
      </c>
      <c r="D112" s="586"/>
      <c r="E112" s="195"/>
      <c r="F112" s="195"/>
      <c r="G112" s="191"/>
      <c r="H112" s="585" t="s">
        <v>165</v>
      </c>
      <c r="I112" s="586"/>
      <c r="J112" s="195"/>
      <c r="K112" s="195"/>
      <c r="L112" s="191"/>
      <c r="M112" s="597"/>
      <c r="N112" s="598"/>
      <c r="O112" s="598"/>
      <c r="P112" s="598"/>
      <c r="Q112" s="598"/>
      <c r="R112" s="598"/>
      <c r="S112" s="598"/>
      <c r="T112" s="598"/>
      <c r="U112" s="598"/>
      <c r="V112" s="598"/>
      <c r="W112" s="598"/>
      <c r="X112" s="598"/>
      <c r="Y112" s="599"/>
    </row>
    <row r="113" spans="1:25" ht="9.9499999999999993" customHeight="1" x14ac:dyDescent="0.25">
      <c r="A113" s="551"/>
      <c r="B113" s="548"/>
      <c r="C113" s="183"/>
      <c r="D113" s="183"/>
      <c r="E113" s="183"/>
      <c r="F113" s="183"/>
      <c r="G113" s="190"/>
      <c r="H113" s="183"/>
      <c r="I113" s="183"/>
      <c r="J113" s="183"/>
      <c r="K113" s="183"/>
      <c r="L113" s="190"/>
      <c r="M113" s="593"/>
      <c r="N113" s="594"/>
      <c r="O113" s="594"/>
      <c r="P113" s="594"/>
      <c r="Q113" s="594"/>
      <c r="R113" s="594"/>
      <c r="S113" s="594"/>
      <c r="T113" s="594"/>
      <c r="U113" s="594"/>
      <c r="V113" s="594"/>
      <c r="W113" s="594"/>
      <c r="X113" s="594"/>
      <c r="Y113" s="595"/>
    </row>
    <row r="114" spans="1:25" ht="9.9499999999999993" customHeight="1" x14ac:dyDescent="0.25">
      <c r="A114" s="549">
        <f t="shared" si="9"/>
        <v>36</v>
      </c>
      <c r="B114" s="548"/>
      <c r="C114" s="188"/>
      <c r="D114" s="188"/>
      <c r="E114" s="188"/>
      <c r="F114" s="188"/>
      <c r="G114" s="189"/>
      <c r="H114" s="188"/>
      <c r="I114" s="188"/>
      <c r="J114" s="188"/>
      <c r="K114" s="188"/>
      <c r="L114" s="189"/>
      <c r="M114" s="590"/>
      <c r="N114" s="591"/>
      <c r="O114" s="591"/>
      <c r="P114" s="591"/>
      <c r="Q114" s="591"/>
      <c r="R114" s="591"/>
      <c r="S114" s="591"/>
      <c r="T114" s="591"/>
      <c r="U114" s="591"/>
      <c r="V114" s="591"/>
      <c r="W114" s="591"/>
      <c r="X114" s="591"/>
      <c r="Y114" s="592"/>
    </row>
    <row r="115" spans="1:25" s="27" customFormat="1" ht="20.100000000000001" customHeight="1" x14ac:dyDescent="0.25">
      <c r="A115" s="550"/>
      <c r="B115" s="548"/>
      <c r="C115" s="585" t="s">
        <v>165</v>
      </c>
      <c r="D115" s="586"/>
      <c r="E115" s="195"/>
      <c r="F115" s="195"/>
      <c r="G115" s="191"/>
      <c r="H115" s="585" t="s">
        <v>165</v>
      </c>
      <c r="I115" s="586"/>
      <c r="J115" s="195"/>
      <c r="K115" s="195"/>
      <c r="L115" s="191"/>
      <c r="M115" s="597"/>
      <c r="N115" s="598"/>
      <c r="O115" s="598"/>
      <c r="P115" s="598"/>
      <c r="Q115" s="598"/>
      <c r="R115" s="598"/>
      <c r="S115" s="598"/>
      <c r="T115" s="598"/>
      <c r="U115" s="598"/>
      <c r="V115" s="598"/>
      <c r="W115" s="598"/>
      <c r="X115" s="598"/>
      <c r="Y115" s="599"/>
    </row>
    <row r="116" spans="1:25" ht="9.9499999999999993" customHeight="1" x14ac:dyDescent="0.25">
      <c r="A116" s="551"/>
      <c r="B116" s="548"/>
      <c r="C116" s="183"/>
      <c r="D116" s="183"/>
      <c r="E116" s="183"/>
      <c r="F116" s="183"/>
      <c r="G116" s="190"/>
      <c r="H116" s="183"/>
      <c r="I116" s="183"/>
      <c r="J116" s="183"/>
      <c r="K116" s="183"/>
      <c r="L116" s="190"/>
      <c r="M116" s="593"/>
      <c r="N116" s="594"/>
      <c r="O116" s="594"/>
      <c r="P116" s="594"/>
      <c r="Q116" s="594"/>
      <c r="R116" s="594"/>
      <c r="S116" s="594"/>
      <c r="T116" s="594"/>
      <c r="U116" s="594"/>
      <c r="V116" s="594"/>
      <c r="W116" s="594"/>
      <c r="X116" s="594"/>
      <c r="Y116" s="595"/>
    </row>
    <row r="117" spans="1:25" ht="9.9499999999999993" customHeight="1" x14ac:dyDescent="0.25">
      <c r="A117" s="549">
        <f t="shared" si="9"/>
        <v>37</v>
      </c>
      <c r="B117" s="548"/>
      <c r="C117" s="188"/>
      <c r="D117" s="188"/>
      <c r="E117" s="188"/>
      <c r="F117" s="188"/>
      <c r="G117" s="189"/>
      <c r="H117" s="188"/>
      <c r="I117" s="188"/>
      <c r="J117" s="188"/>
      <c r="K117" s="188"/>
      <c r="L117" s="189"/>
      <c r="M117" s="590"/>
      <c r="N117" s="591"/>
      <c r="O117" s="591"/>
      <c r="P117" s="591"/>
      <c r="Q117" s="591"/>
      <c r="R117" s="591"/>
      <c r="S117" s="591"/>
      <c r="T117" s="591"/>
      <c r="U117" s="591"/>
      <c r="V117" s="591"/>
      <c r="W117" s="591"/>
      <c r="X117" s="591"/>
      <c r="Y117" s="592"/>
    </row>
    <row r="118" spans="1:25" s="27" customFormat="1" ht="20.100000000000001" customHeight="1" x14ac:dyDescent="0.25">
      <c r="A118" s="550"/>
      <c r="B118" s="548"/>
      <c r="C118" s="585" t="s">
        <v>165</v>
      </c>
      <c r="D118" s="586"/>
      <c r="E118" s="195"/>
      <c r="F118" s="195"/>
      <c r="G118" s="191"/>
      <c r="H118" s="585" t="s">
        <v>165</v>
      </c>
      <c r="I118" s="586"/>
      <c r="J118" s="195"/>
      <c r="K118" s="195"/>
      <c r="L118" s="191"/>
      <c r="M118" s="597"/>
      <c r="N118" s="598"/>
      <c r="O118" s="598"/>
      <c r="P118" s="598"/>
      <c r="Q118" s="598"/>
      <c r="R118" s="598"/>
      <c r="S118" s="598"/>
      <c r="T118" s="598"/>
      <c r="U118" s="598"/>
      <c r="V118" s="598"/>
      <c r="W118" s="598"/>
      <c r="X118" s="598"/>
      <c r="Y118" s="599"/>
    </row>
    <row r="119" spans="1:25" ht="9.9499999999999993" customHeight="1" x14ac:dyDescent="0.25">
      <c r="A119" s="551"/>
      <c r="B119" s="548"/>
      <c r="C119" s="183"/>
      <c r="D119" s="183"/>
      <c r="E119" s="183"/>
      <c r="F119" s="183"/>
      <c r="G119" s="190"/>
      <c r="H119" s="183"/>
      <c r="I119" s="183"/>
      <c r="J119" s="183"/>
      <c r="K119" s="183"/>
      <c r="L119" s="190"/>
      <c r="M119" s="593"/>
      <c r="N119" s="594"/>
      <c r="O119" s="594"/>
      <c r="P119" s="594"/>
      <c r="Q119" s="594"/>
      <c r="R119" s="594"/>
      <c r="S119" s="594"/>
      <c r="T119" s="594"/>
      <c r="U119" s="594"/>
      <c r="V119" s="594"/>
      <c r="W119" s="594"/>
      <c r="X119" s="594"/>
      <c r="Y119" s="595"/>
    </row>
    <row r="120" spans="1:25" ht="9.9499999999999993" customHeight="1" x14ac:dyDescent="0.25">
      <c r="A120" s="549">
        <f t="shared" si="9"/>
        <v>38</v>
      </c>
      <c r="B120" s="548"/>
      <c r="C120" s="188"/>
      <c r="D120" s="188"/>
      <c r="E120" s="188"/>
      <c r="F120" s="188"/>
      <c r="G120" s="189"/>
      <c r="H120" s="188"/>
      <c r="I120" s="188"/>
      <c r="J120" s="188"/>
      <c r="K120" s="188"/>
      <c r="L120" s="189"/>
      <c r="M120" s="590"/>
      <c r="N120" s="591"/>
      <c r="O120" s="591"/>
      <c r="P120" s="591"/>
      <c r="Q120" s="591"/>
      <c r="R120" s="591"/>
      <c r="S120" s="591"/>
      <c r="T120" s="591"/>
      <c r="U120" s="591"/>
      <c r="V120" s="591"/>
      <c r="W120" s="591"/>
      <c r="X120" s="591"/>
      <c r="Y120" s="592"/>
    </row>
    <row r="121" spans="1:25" s="27" customFormat="1" ht="20.100000000000001" customHeight="1" x14ac:dyDescent="0.25">
      <c r="A121" s="550"/>
      <c r="B121" s="548"/>
      <c r="C121" s="585" t="s">
        <v>165</v>
      </c>
      <c r="D121" s="586"/>
      <c r="E121" s="195"/>
      <c r="F121" s="195"/>
      <c r="G121" s="191"/>
      <c r="H121" s="585" t="s">
        <v>165</v>
      </c>
      <c r="I121" s="586"/>
      <c r="J121" s="195"/>
      <c r="K121" s="195"/>
      <c r="L121" s="191"/>
      <c r="M121" s="597"/>
      <c r="N121" s="598"/>
      <c r="O121" s="598"/>
      <c r="P121" s="598"/>
      <c r="Q121" s="598"/>
      <c r="R121" s="598"/>
      <c r="S121" s="598"/>
      <c r="T121" s="598"/>
      <c r="U121" s="598"/>
      <c r="V121" s="598"/>
      <c r="W121" s="598"/>
      <c r="X121" s="598"/>
      <c r="Y121" s="599"/>
    </row>
    <row r="122" spans="1:25" ht="9.9499999999999993" customHeight="1" x14ac:dyDescent="0.25">
      <c r="A122" s="551"/>
      <c r="B122" s="548"/>
      <c r="C122" s="183"/>
      <c r="D122" s="183"/>
      <c r="E122" s="183"/>
      <c r="F122" s="183"/>
      <c r="G122" s="190"/>
      <c r="H122" s="183"/>
      <c r="I122" s="183"/>
      <c r="J122" s="183"/>
      <c r="K122" s="183"/>
      <c r="L122" s="190"/>
      <c r="M122" s="593"/>
      <c r="N122" s="594"/>
      <c r="O122" s="594"/>
      <c r="P122" s="594"/>
      <c r="Q122" s="594"/>
      <c r="R122" s="594"/>
      <c r="S122" s="594"/>
      <c r="T122" s="594"/>
      <c r="U122" s="594"/>
      <c r="V122" s="594"/>
      <c r="W122" s="594"/>
      <c r="X122" s="594"/>
      <c r="Y122" s="595"/>
    </row>
    <row r="123" spans="1:25" ht="9.9499999999999993" customHeight="1" x14ac:dyDescent="0.25">
      <c r="A123" s="549">
        <f t="shared" si="9"/>
        <v>39</v>
      </c>
      <c r="B123" s="548"/>
      <c r="C123" s="188"/>
      <c r="D123" s="188"/>
      <c r="E123" s="188"/>
      <c r="F123" s="188"/>
      <c r="G123" s="189"/>
      <c r="H123" s="188"/>
      <c r="I123" s="188"/>
      <c r="J123" s="188"/>
      <c r="K123" s="188"/>
      <c r="L123" s="189"/>
      <c r="M123" s="590"/>
      <c r="N123" s="591"/>
      <c r="O123" s="591"/>
      <c r="P123" s="591"/>
      <c r="Q123" s="591"/>
      <c r="R123" s="591"/>
      <c r="S123" s="591"/>
      <c r="T123" s="591"/>
      <c r="U123" s="591"/>
      <c r="V123" s="591"/>
      <c r="W123" s="591"/>
      <c r="X123" s="591"/>
      <c r="Y123" s="592"/>
    </row>
    <row r="124" spans="1:25" s="27" customFormat="1" ht="20.100000000000001" customHeight="1" x14ac:dyDescent="0.25">
      <c r="A124" s="550"/>
      <c r="B124" s="548"/>
      <c r="C124" s="585" t="s">
        <v>165</v>
      </c>
      <c r="D124" s="586"/>
      <c r="E124" s="195"/>
      <c r="F124" s="195"/>
      <c r="G124" s="191"/>
      <c r="H124" s="585" t="s">
        <v>165</v>
      </c>
      <c r="I124" s="586"/>
      <c r="J124" s="195"/>
      <c r="K124" s="195"/>
      <c r="L124" s="191"/>
      <c r="M124" s="597"/>
      <c r="N124" s="598"/>
      <c r="O124" s="598"/>
      <c r="P124" s="598"/>
      <c r="Q124" s="598"/>
      <c r="R124" s="598"/>
      <c r="S124" s="598"/>
      <c r="T124" s="598"/>
      <c r="U124" s="598"/>
      <c r="V124" s="598"/>
      <c r="W124" s="598"/>
      <c r="X124" s="598"/>
      <c r="Y124" s="599"/>
    </row>
    <row r="125" spans="1:25" ht="9.9499999999999993" customHeight="1" x14ac:dyDescent="0.25">
      <c r="A125" s="551"/>
      <c r="B125" s="548"/>
      <c r="C125" s="183"/>
      <c r="D125" s="183"/>
      <c r="E125" s="183"/>
      <c r="F125" s="183"/>
      <c r="G125" s="190"/>
      <c r="H125" s="183"/>
      <c r="I125" s="183"/>
      <c r="J125" s="183"/>
      <c r="K125" s="183"/>
      <c r="L125" s="190"/>
      <c r="M125" s="593"/>
      <c r="N125" s="594"/>
      <c r="O125" s="594"/>
      <c r="P125" s="594"/>
      <c r="Q125" s="594"/>
      <c r="R125" s="594"/>
      <c r="S125" s="594"/>
      <c r="T125" s="594"/>
      <c r="U125" s="594"/>
      <c r="V125" s="594"/>
      <c r="W125" s="594"/>
      <c r="X125" s="594"/>
      <c r="Y125" s="595"/>
    </row>
    <row r="126" spans="1:25" ht="9.9499999999999993" customHeight="1" x14ac:dyDescent="0.25">
      <c r="A126" s="549">
        <f t="shared" si="9"/>
        <v>40</v>
      </c>
      <c r="B126" s="548"/>
      <c r="C126" s="188"/>
      <c r="D126" s="188"/>
      <c r="E126" s="188"/>
      <c r="F126" s="188"/>
      <c r="G126" s="189"/>
      <c r="H126" s="188"/>
      <c r="I126" s="188"/>
      <c r="J126" s="188"/>
      <c r="K126" s="188"/>
      <c r="L126" s="189"/>
      <c r="M126" s="590"/>
      <c r="N126" s="591"/>
      <c r="O126" s="591"/>
      <c r="P126" s="591"/>
      <c r="Q126" s="591"/>
      <c r="R126" s="591"/>
      <c r="S126" s="591"/>
      <c r="T126" s="591"/>
      <c r="U126" s="591"/>
      <c r="V126" s="591"/>
      <c r="W126" s="591"/>
      <c r="X126" s="591"/>
      <c r="Y126" s="592"/>
    </row>
    <row r="127" spans="1:25" s="27" customFormat="1" ht="20.100000000000001" customHeight="1" x14ac:dyDescent="0.25">
      <c r="A127" s="550"/>
      <c r="B127" s="548"/>
      <c r="C127" s="585" t="s">
        <v>165</v>
      </c>
      <c r="D127" s="586"/>
      <c r="E127" s="195"/>
      <c r="F127" s="195"/>
      <c r="G127" s="191"/>
      <c r="H127" s="585" t="s">
        <v>165</v>
      </c>
      <c r="I127" s="586"/>
      <c r="J127" s="195"/>
      <c r="K127" s="195"/>
      <c r="L127" s="191"/>
      <c r="M127" s="597"/>
      <c r="N127" s="598"/>
      <c r="O127" s="598"/>
      <c r="P127" s="598"/>
      <c r="Q127" s="598"/>
      <c r="R127" s="598"/>
      <c r="S127" s="598"/>
      <c r="T127" s="598"/>
      <c r="U127" s="598"/>
      <c r="V127" s="598"/>
      <c r="W127" s="598"/>
      <c r="X127" s="598"/>
      <c r="Y127" s="599"/>
    </row>
    <row r="128" spans="1:25" ht="9.9499999999999993" customHeight="1" x14ac:dyDescent="0.25">
      <c r="A128" s="551"/>
      <c r="B128" s="548"/>
      <c r="C128" s="183"/>
      <c r="D128" s="183"/>
      <c r="E128" s="183"/>
      <c r="F128" s="183"/>
      <c r="G128" s="190"/>
      <c r="H128" s="183"/>
      <c r="I128" s="183"/>
      <c r="J128" s="183"/>
      <c r="K128" s="183"/>
      <c r="L128" s="190"/>
      <c r="M128" s="593"/>
      <c r="N128" s="594"/>
      <c r="O128" s="594"/>
      <c r="P128" s="594"/>
      <c r="Q128" s="594"/>
      <c r="R128" s="594"/>
      <c r="S128" s="594"/>
      <c r="T128" s="594"/>
      <c r="U128" s="594"/>
      <c r="V128" s="594"/>
      <c r="W128" s="594"/>
      <c r="X128" s="594"/>
      <c r="Y128" s="595"/>
    </row>
  </sheetData>
  <mergeCells count="224">
    <mergeCell ref="C37:D37"/>
    <mergeCell ref="H37:I37"/>
    <mergeCell ref="A7:A8"/>
    <mergeCell ref="Q1:Y2"/>
    <mergeCell ref="M7:Y8"/>
    <mergeCell ref="A12:A14"/>
    <mergeCell ref="B12:B14"/>
    <mergeCell ref="M12:Y14"/>
    <mergeCell ref="A15:A17"/>
    <mergeCell ref="B15:B17"/>
    <mergeCell ref="M15:Y17"/>
    <mergeCell ref="A2:O2"/>
    <mergeCell ref="A1:O1"/>
    <mergeCell ref="A4:B4"/>
    <mergeCell ref="A5:B5"/>
    <mergeCell ref="C7:G7"/>
    <mergeCell ref="C8:G8"/>
    <mergeCell ref="H7:L7"/>
    <mergeCell ref="H8:L8"/>
    <mergeCell ref="M9:Y11"/>
    <mergeCell ref="B7:B8"/>
    <mergeCell ref="B9:B11"/>
    <mergeCell ref="A9:A11"/>
    <mergeCell ref="B27:B29"/>
    <mergeCell ref="M27:Y29"/>
    <mergeCell ref="C25:D25"/>
    <mergeCell ref="H25:I25"/>
    <mergeCell ref="C28:D28"/>
    <mergeCell ref="H28:I28"/>
    <mergeCell ref="A18:A20"/>
    <mergeCell ref="B18:B20"/>
    <mergeCell ref="M18:Y20"/>
    <mergeCell ref="A21:A23"/>
    <mergeCell ref="B21:B23"/>
    <mergeCell ref="M21:Y23"/>
    <mergeCell ref="H19:I19"/>
    <mergeCell ref="C22:D22"/>
    <mergeCell ref="H22:I22"/>
    <mergeCell ref="A36:A38"/>
    <mergeCell ref="B36:B38"/>
    <mergeCell ref="M36:Y38"/>
    <mergeCell ref="C10:D10"/>
    <mergeCell ref="H10:I10"/>
    <mergeCell ref="C13:D13"/>
    <mergeCell ref="H13:I13"/>
    <mergeCell ref="C16:D16"/>
    <mergeCell ref="H16:I16"/>
    <mergeCell ref="C19:D19"/>
    <mergeCell ref="A30:A32"/>
    <mergeCell ref="B30:B32"/>
    <mergeCell ref="M30:Y32"/>
    <mergeCell ref="A33:A35"/>
    <mergeCell ref="B33:B35"/>
    <mergeCell ref="M33:Y35"/>
    <mergeCell ref="C31:D31"/>
    <mergeCell ref="H31:I31"/>
    <mergeCell ref="C34:D34"/>
    <mergeCell ref="H34:I34"/>
    <mergeCell ref="A24:A26"/>
    <mergeCell ref="B24:B26"/>
    <mergeCell ref="M24:Y26"/>
    <mergeCell ref="A27:A29"/>
    <mergeCell ref="U4:V4"/>
    <mergeCell ref="U5:V5"/>
    <mergeCell ref="W4:Y4"/>
    <mergeCell ref="W5:Y5"/>
    <mergeCell ref="C4:K4"/>
    <mergeCell ref="C5:K5"/>
    <mergeCell ref="M4:P4"/>
    <mergeCell ref="M5:P5"/>
    <mergeCell ref="Q4:R4"/>
    <mergeCell ref="Q5:R5"/>
    <mergeCell ref="S4:T4"/>
    <mergeCell ref="S5:T5"/>
    <mergeCell ref="A39:A41"/>
    <mergeCell ref="B39:B41"/>
    <mergeCell ref="M39:Y41"/>
    <mergeCell ref="C40:D40"/>
    <mergeCell ref="H40:I40"/>
    <mergeCell ref="A42:A44"/>
    <mergeCell ref="B42:B44"/>
    <mergeCell ref="M42:Y44"/>
    <mergeCell ref="C43:D43"/>
    <mergeCell ref="H43:I43"/>
    <mergeCell ref="A45:A47"/>
    <mergeCell ref="B45:B47"/>
    <mergeCell ref="M45:Y47"/>
    <mergeCell ref="C46:D46"/>
    <mergeCell ref="H46:I46"/>
    <mergeCell ref="A48:A50"/>
    <mergeCell ref="B48:B50"/>
    <mergeCell ref="M48:Y50"/>
    <mergeCell ref="C49:D49"/>
    <mergeCell ref="H49:I49"/>
    <mergeCell ref="A51:A53"/>
    <mergeCell ref="B51:B53"/>
    <mergeCell ref="M51:Y53"/>
    <mergeCell ref="C52:D52"/>
    <mergeCell ref="H52:I52"/>
    <mergeCell ref="A54:A56"/>
    <mergeCell ref="B54:B56"/>
    <mergeCell ref="M54:Y56"/>
    <mergeCell ref="C55:D55"/>
    <mergeCell ref="H55:I55"/>
    <mergeCell ref="A57:A59"/>
    <mergeCell ref="B57:B59"/>
    <mergeCell ref="M57:Y59"/>
    <mergeCell ref="C58:D58"/>
    <mergeCell ref="H58:I58"/>
    <mergeCell ref="A60:A62"/>
    <mergeCell ref="B60:B62"/>
    <mergeCell ref="M60:Y62"/>
    <mergeCell ref="C61:D61"/>
    <mergeCell ref="H61:I61"/>
    <mergeCell ref="A63:A65"/>
    <mergeCell ref="B63:B65"/>
    <mergeCell ref="M63:Y65"/>
    <mergeCell ref="C64:D64"/>
    <mergeCell ref="H64:I64"/>
    <mergeCell ref="A66:A68"/>
    <mergeCell ref="B66:B68"/>
    <mergeCell ref="M66:Y68"/>
    <mergeCell ref="C67:D67"/>
    <mergeCell ref="H67:I67"/>
    <mergeCell ref="A69:A71"/>
    <mergeCell ref="B69:B71"/>
    <mergeCell ref="M69:Y71"/>
    <mergeCell ref="C70:D70"/>
    <mergeCell ref="H70:I70"/>
    <mergeCell ref="A72:A74"/>
    <mergeCell ref="B72:B74"/>
    <mergeCell ref="M72:Y74"/>
    <mergeCell ref="C73:D73"/>
    <mergeCell ref="H73:I73"/>
    <mergeCell ref="A75:A77"/>
    <mergeCell ref="B75:B77"/>
    <mergeCell ref="M75:Y77"/>
    <mergeCell ref="C76:D76"/>
    <mergeCell ref="H76:I76"/>
    <mergeCell ref="A78:A80"/>
    <mergeCell ref="B78:B80"/>
    <mergeCell ref="M78:Y80"/>
    <mergeCell ref="C79:D79"/>
    <mergeCell ref="H79:I79"/>
    <mergeCell ref="A81:A83"/>
    <mergeCell ref="B81:B83"/>
    <mergeCell ref="M81:Y83"/>
    <mergeCell ref="C82:D82"/>
    <mergeCell ref="H82:I82"/>
    <mergeCell ref="A84:A86"/>
    <mergeCell ref="B84:B86"/>
    <mergeCell ref="M84:Y86"/>
    <mergeCell ref="C85:D85"/>
    <mergeCell ref="H85:I85"/>
    <mergeCell ref="A87:A89"/>
    <mergeCell ref="B87:B89"/>
    <mergeCell ref="M87:Y89"/>
    <mergeCell ref="C88:D88"/>
    <mergeCell ref="H88:I88"/>
    <mergeCell ref="A90:A92"/>
    <mergeCell ref="B90:B92"/>
    <mergeCell ref="M90:Y92"/>
    <mergeCell ref="C91:D91"/>
    <mergeCell ref="H91:I91"/>
    <mergeCell ref="A93:A95"/>
    <mergeCell ref="B93:B95"/>
    <mergeCell ref="M93:Y95"/>
    <mergeCell ref="C94:D94"/>
    <mergeCell ref="H94:I94"/>
    <mergeCell ref="A96:A98"/>
    <mergeCell ref="B96:B98"/>
    <mergeCell ref="M96:Y98"/>
    <mergeCell ref="C97:D97"/>
    <mergeCell ref="H97:I97"/>
    <mergeCell ref="A99:A101"/>
    <mergeCell ref="B99:B101"/>
    <mergeCell ref="M99:Y101"/>
    <mergeCell ref="C100:D100"/>
    <mergeCell ref="H100:I100"/>
    <mergeCell ref="A102:A104"/>
    <mergeCell ref="B102:B104"/>
    <mergeCell ref="M102:Y104"/>
    <mergeCell ref="C103:D103"/>
    <mergeCell ref="H103:I103"/>
    <mergeCell ref="A105:A107"/>
    <mergeCell ref="B105:B107"/>
    <mergeCell ref="M105:Y107"/>
    <mergeCell ref="C106:D106"/>
    <mergeCell ref="H106:I106"/>
    <mergeCell ref="A108:A110"/>
    <mergeCell ref="B108:B110"/>
    <mergeCell ref="M108:Y110"/>
    <mergeCell ref="C109:D109"/>
    <mergeCell ref="H109:I109"/>
    <mergeCell ref="A111:A113"/>
    <mergeCell ref="B111:B113"/>
    <mergeCell ref="M111:Y113"/>
    <mergeCell ref="C112:D112"/>
    <mergeCell ref="H112:I112"/>
    <mergeCell ref="A114:A116"/>
    <mergeCell ref="B114:B116"/>
    <mergeCell ref="M114:Y116"/>
    <mergeCell ref="C115:D115"/>
    <mergeCell ref="H115:I115"/>
    <mergeCell ref="A117:A119"/>
    <mergeCell ref="B117:B119"/>
    <mergeCell ref="M117:Y119"/>
    <mergeCell ref="C118:D118"/>
    <mergeCell ref="H118:I118"/>
    <mergeCell ref="A120:A122"/>
    <mergeCell ref="B120:B122"/>
    <mergeCell ref="M120:Y122"/>
    <mergeCell ref="C121:D121"/>
    <mergeCell ref="H121:I121"/>
    <mergeCell ref="A123:A125"/>
    <mergeCell ref="B123:B125"/>
    <mergeCell ref="M123:Y125"/>
    <mergeCell ref="C124:D124"/>
    <mergeCell ref="H124:I124"/>
    <mergeCell ref="A126:A128"/>
    <mergeCell ref="B126:B128"/>
    <mergeCell ref="M126:Y128"/>
    <mergeCell ref="C127:D127"/>
    <mergeCell ref="H127:I127"/>
  </mergeCells>
  <pageMargins left="0.39370078740157483" right="0.39370078740157483" top="0.39370078740157483" bottom="0.78740157480314965" header="0" footer="0.39370078740157483"/>
  <pageSetup paperSize="9" orientation="landscape" horizontalDpi="300" r:id="rId1"/>
  <headerFooter>
    <oddFooter>Страница  &amp;P из &amp;N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28"/>
  <sheetViews>
    <sheetView view="pageBreakPreview" zoomScaleSheetLayoutView="100" workbookViewId="0">
      <selection sqref="A1:O1"/>
    </sheetView>
  </sheetViews>
  <sheetFormatPr defaultColWidth="9.140625" defaultRowHeight="15" x14ac:dyDescent="0.25"/>
  <cols>
    <col min="1" max="1" width="5.7109375" style="14" customWidth="1"/>
    <col min="2" max="2" width="10.7109375" style="14" customWidth="1"/>
    <col min="3" max="3" width="15.7109375" style="14" customWidth="1"/>
    <col min="4" max="4" width="0.85546875" style="14" customWidth="1"/>
    <col min="5" max="6" width="3.28515625" style="14" customWidth="1"/>
    <col min="7" max="7" width="0.85546875" style="14" customWidth="1"/>
    <col min="8" max="8" width="15.7109375" style="14" customWidth="1"/>
    <col min="9" max="9" width="0.85546875" style="14" customWidth="1"/>
    <col min="10" max="11" width="3.28515625" style="14" customWidth="1"/>
    <col min="12" max="12" width="0.85546875" style="14" customWidth="1"/>
    <col min="13" max="25" width="5.7109375" style="14" customWidth="1"/>
    <col min="26" max="16384" width="9.140625" style="14"/>
  </cols>
  <sheetData>
    <row r="1" spans="1:28" ht="21" customHeight="1" x14ac:dyDescent="0.25">
      <c r="A1" s="566" t="str">
        <f>НазваниеПолное</f>
        <v>Ралли "Skoda Rally Weekend - 2017"</v>
      </c>
      <c r="B1" s="567"/>
      <c r="C1" s="567"/>
      <c r="D1" s="567"/>
      <c r="E1" s="567"/>
      <c r="F1" s="567"/>
      <c r="G1" s="567"/>
      <c r="H1" s="567"/>
      <c r="I1" s="567"/>
      <c r="J1" s="567"/>
      <c r="K1" s="567"/>
      <c r="L1" s="567"/>
      <c r="M1" s="567"/>
      <c r="N1" s="567"/>
      <c r="O1" s="568"/>
      <c r="P1" s="193"/>
      <c r="Q1" s="569" t="str">
        <f ca="1">INDIRECT(ADDRESS($AB$1,1,,,"Общее"))</f>
        <v>ДС-2 РУ Финиш</v>
      </c>
      <c r="R1" s="569"/>
      <c r="S1" s="569"/>
      <c r="T1" s="569"/>
      <c r="U1" s="569"/>
      <c r="V1" s="569"/>
      <c r="W1" s="569"/>
      <c r="X1" s="569"/>
      <c r="Y1" s="569"/>
      <c r="AA1" s="14" t="s">
        <v>153</v>
      </c>
      <c r="AB1" s="14">
        <v>18</v>
      </c>
    </row>
    <row r="2" spans="1:28" ht="21" customHeight="1" x14ac:dyDescent="0.25">
      <c r="A2" s="570" t="s">
        <v>11</v>
      </c>
      <c r="B2" s="571"/>
      <c r="C2" s="571"/>
      <c r="D2" s="571"/>
      <c r="E2" s="571"/>
      <c r="F2" s="571"/>
      <c r="G2" s="571"/>
      <c r="H2" s="571"/>
      <c r="I2" s="571"/>
      <c r="J2" s="571"/>
      <c r="K2" s="571"/>
      <c r="L2" s="571"/>
      <c r="M2" s="571"/>
      <c r="N2" s="571"/>
      <c r="O2" s="572"/>
      <c r="P2" s="192"/>
      <c r="Q2" s="569"/>
      <c r="R2" s="569"/>
      <c r="S2" s="569"/>
      <c r="T2" s="569"/>
      <c r="U2" s="569"/>
      <c r="V2" s="569"/>
      <c r="W2" s="569"/>
      <c r="X2" s="569"/>
      <c r="Y2" s="569"/>
    </row>
    <row r="3" spans="1:28" ht="2.1" customHeight="1" x14ac:dyDescent="0.25">
      <c r="A3" s="18"/>
      <c r="B3" s="18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2"/>
      <c r="N3" s="182"/>
      <c r="O3" s="182"/>
      <c r="P3" s="182"/>
    </row>
    <row r="4" spans="1:28" ht="20.100000000000001" customHeight="1" x14ac:dyDescent="0.25">
      <c r="A4" s="548" t="s">
        <v>12</v>
      </c>
      <c r="B4" s="548"/>
      <c r="C4" s="573" t="str">
        <f ca="1">INDIRECT(ADDRESS($AB$1,12,,,"Общее"))</f>
        <v>Васильев+Хасанова</v>
      </c>
      <c r="D4" s="573"/>
      <c r="E4" s="573"/>
      <c r="F4" s="573"/>
      <c r="G4" s="573"/>
      <c r="H4" s="573"/>
      <c r="I4" s="573"/>
      <c r="J4" s="573"/>
      <c r="K4" s="573"/>
      <c r="M4" s="548" t="s">
        <v>268</v>
      </c>
      <c r="N4" s="548"/>
      <c r="O4" s="548"/>
      <c r="P4" s="548"/>
      <c r="Q4" s="548" t="s">
        <v>136</v>
      </c>
      <c r="R4" s="548"/>
      <c r="S4" s="554">
        <f ca="1">INDIRECT(ADDRESS($AB$1,9,,,"Общее"))</f>
        <v>0.5374768518518519</v>
      </c>
      <c r="T4" s="554"/>
      <c r="U4" s="548" t="s">
        <v>135</v>
      </c>
      <c r="V4" s="548"/>
      <c r="W4" s="552" t="s">
        <v>164</v>
      </c>
      <c r="X4" s="552"/>
      <c r="Y4" s="552"/>
    </row>
    <row r="5" spans="1:28" ht="20.100000000000001" customHeight="1" x14ac:dyDescent="0.25">
      <c r="A5" s="548" t="s">
        <v>13</v>
      </c>
      <c r="B5" s="548"/>
      <c r="C5" s="548"/>
      <c r="D5" s="548"/>
      <c r="E5" s="548"/>
      <c r="F5" s="548"/>
      <c r="G5" s="548"/>
      <c r="H5" s="548"/>
      <c r="I5" s="548"/>
      <c r="J5" s="548"/>
      <c r="K5" s="548"/>
      <c r="M5" s="548" t="s">
        <v>269</v>
      </c>
      <c r="N5" s="548"/>
      <c r="O5" s="548"/>
      <c r="P5" s="548"/>
      <c r="Q5" s="548" t="s">
        <v>136</v>
      </c>
      <c r="R5" s="548"/>
      <c r="S5" s="554">
        <f ca="1">INDIRECT(ADDRESS($AB$1,11,,,"Общее"))</f>
        <v>0.60106694845923092</v>
      </c>
      <c r="T5" s="554"/>
      <c r="U5" s="548" t="s">
        <v>135</v>
      </c>
      <c r="V5" s="548"/>
      <c r="W5" s="552" t="s">
        <v>164</v>
      </c>
      <c r="X5" s="552"/>
      <c r="Y5" s="552"/>
    </row>
    <row r="6" spans="1:28" ht="2.1" customHeight="1" x14ac:dyDescent="0.25">
      <c r="A6" s="180"/>
      <c r="B6" s="180"/>
      <c r="C6" s="60"/>
      <c r="D6" s="60"/>
      <c r="E6" s="180"/>
      <c r="F6" s="180"/>
      <c r="G6" s="180"/>
      <c r="H6" s="60"/>
      <c r="I6" s="60"/>
      <c r="J6" s="180"/>
      <c r="K6" s="180"/>
      <c r="L6" s="180"/>
      <c r="M6" s="226"/>
      <c r="N6" s="226"/>
      <c r="O6" s="226"/>
      <c r="P6" s="226"/>
    </row>
    <row r="7" spans="1:28" ht="20.100000000000001" customHeight="1" x14ac:dyDescent="0.25">
      <c r="A7" s="553"/>
      <c r="B7" s="548" t="s">
        <v>0</v>
      </c>
      <c r="C7" s="587" t="s">
        <v>38</v>
      </c>
      <c r="D7" s="588"/>
      <c r="E7" s="588"/>
      <c r="F7" s="588"/>
      <c r="G7" s="589"/>
      <c r="H7" s="590" t="s">
        <v>80</v>
      </c>
      <c r="I7" s="591"/>
      <c r="J7" s="591"/>
      <c r="K7" s="591"/>
      <c r="L7" s="591"/>
      <c r="M7" s="591"/>
      <c r="N7" s="591"/>
      <c r="O7" s="591"/>
      <c r="P7" s="591"/>
      <c r="Q7" s="591"/>
      <c r="R7" s="591"/>
      <c r="S7" s="591"/>
      <c r="T7" s="591"/>
      <c r="U7" s="591"/>
      <c r="V7" s="591"/>
      <c r="W7" s="591"/>
      <c r="X7" s="591"/>
      <c r="Y7" s="592"/>
      <c r="AA7" s="14" t="s">
        <v>265</v>
      </c>
    </row>
    <row r="8" spans="1:28" ht="20.100000000000001" customHeight="1" x14ac:dyDescent="0.25">
      <c r="A8" s="553"/>
      <c r="B8" s="548"/>
      <c r="C8" s="587" t="s">
        <v>270</v>
      </c>
      <c r="D8" s="588"/>
      <c r="E8" s="588"/>
      <c r="F8" s="588"/>
      <c r="G8" s="589"/>
      <c r="H8" s="593"/>
      <c r="I8" s="594"/>
      <c r="J8" s="594"/>
      <c r="K8" s="594"/>
      <c r="L8" s="594"/>
      <c r="M8" s="594"/>
      <c r="N8" s="594"/>
      <c r="O8" s="594"/>
      <c r="P8" s="594"/>
      <c r="Q8" s="594"/>
      <c r="R8" s="594"/>
      <c r="S8" s="594"/>
      <c r="T8" s="594"/>
      <c r="U8" s="594"/>
      <c r="V8" s="594"/>
      <c r="W8" s="594"/>
      <c r="X8" s="594"/>
      <c r="Y8" s="595"/>
      <c r="AA8" s="14" t="s">
        <v>266</v>
      </c>
    </row>
    <row r="9" spans="1:28" ht="9.9499999999999993" customHeight="1" x14ac:dyDescent="0.25">
      <c r="A9" s="549">
        <v>1</v>
      </c>
      <c r="B9" s="548"/>
      <c r="C9" s="229"/>
      <c r="D9" s="229"/>
      <c r="E9" s="229"/>
      <c r="F9" s="229"/>
      <c r="G9" s="230"/>
      <c r="H9" s="590"/>
      <c r="I9" s="591"/>
      <c r="J9" s="591"/>
      <c r="K9" s="591"/>
      <c r="L9" s="591"/>
      <c r="M9" s="591"/>
      <c r="N9" s="591"/>
      <c r="O9" s="591"/>
      <c r="P9" s="591"/>
      <c r="Q9" s="591"/>
      <c r="R9" s="591"/>
      <c r="S9" s="591"/>
      <c r="T9" s="591"/>
      <c r="U9" s="591"/>
      <c r="V9" s="591"/>
      <c r="W9" s="591"/>
      <c r="X9" s="591"/>
      <c r="Y9" s="592"/>
    </row>
    <row r="10" spans="1:28" ht="20.100000000000001" customHeight="1" x14ac:dyDescent="0.25">
      <c r="A10" s="550"/>
      <c r="B10" s="548"/>
      <c r="C10" s="585" t="s">
        <v>165</v>
      </c>
      <c r="D10" s="586"/>
      <c r="E10" s="194"/>
      <c r="F10" s="194"/>
      <c r="G10" s="191"/>
      <c r="H10" s="597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  <c r="U10" s="598"/>
      <c r="V10" s="598"/>
      <c r="W10" s="598"/>
      <c r="X10" s="598"/>
      <c r="Y10" s="599"/>
    </row>
    <row r="11" spans="1:28" ht="9.9499999999999993" customHeight="1" x14ac:dyDescent="0.25">
      <c r="A11" s="551"/>
      <c r="B11" s="548"/>
      <c r="C11" s="231"/>
      <c r="D11" s="231"/>
      <c r="E11" s="231"/>
      <c r="F11" s="231"/>
      <c r="G11" s="232"/>
      <c r="H11" s="593"/>
      <c r="I11" s="594"/>
      <c r="J11" s="594"/>
      <c r="K11" s="594"/>
      <c r="L11" s="594"/>
      <c r="M11" s="594"/>
      <c r="N11" s="594"/>
      <c r="O11" s="594"/>
      <c r="P11" s="594"/>
      <c r="Q11" s="594"/>
      <c r="R11" s="594"/>
      <c r="S11" s="594"/>
      <c r="T11" s="594"/>
      <c r="U11" s="594"/>
      <c r="V11" s="594"/>
      <c r="W11" s="594"/>
      <c r="X11" s="594"/>
      <c r="Y11" s="595"/>
    </row>
    <row r="12" spans="1:28" ht="9.9499999999999993" customHeight="1" x14ac:dyDescent="0.25">
      <c r="A12" s="549">
        <f>1+A9</f>
        <v>2</v>
      </c>
      <c r="B12" s="548"/>
      <c r="C12" s="229"/>
      <c r="D12" s="229"/>
      <c r="E12" s="229"/>
      <c r="F12" s="229"/>
      <c r="G12" s="230"/>
      <c r="H12" s="590"/>
      <c r="I12" s="591"/>
      <c r="J12" s="591"/>
      <c r="K12" s="591"/>
      <c r="L12" s="591"/>
      <c r="M12" s="591"/>
      <c r="N12" s="591"/>
      <c r="O12" s="591"/>
      <c r="P12" s="591"/>
      <c r="Q12" s="591"/>
      <c r="R12" s="591"/>
      <c r="S12" s="591"/>
      <c r="T12" s="591"/>
      <c r="U12" s="591"/>
      <c r="V12" s="591"/>
      <c r="W12" s="591"/>
      <c r="X12" s="591"/>
      <c r="Y12" s="592"/>
    </row>
    <row r="13" spans="1:28" ht="20.100000000000001" customHeight="1" x14ac:dyDescent="0.25">
      <c r="A13" s="550"/>
      <c r="B13" s="548"/>
      <c r="C13" s="585" t="s">
        <v>165</v>
      </c>
      <c r="D13" s="586"/>
      <c r="E13" s="194"/>
      <c r="F13" s="194"/>
      <c r="G13" s="191"/>
      <c r="H13" s="597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  <c r="U13" s="598"/>
      <c r="V13" s="598"/>
      <c r="W13" s="598"/>
      <c r="X13" s="598"/>
      <c r="Y13" s="599"/>
    </row>
    <row r="14" spans="1:28" ht="9.9499999999999993" customHeight="1" x14ac:dyDescent="0.25">
      <c r="A14" s="551"/>
      <c r="B14" s="548"/>
      <c r="C14" s="231"/>
      <c r="D14" s="231"/>
      <c r="E14" s="231"/>
      <c r="F14" s="231"/>
      <c r="G14" s="232"/>
      <c r="H14" s="593"/>
      <c r="I14" s="594"/>
      <c r="J14" s="594"/>
      <c r="K14" s="594"/>
      <c r="L14" s="594"/>
      <c r="M14" s="594"/>
      <c r="N14" s="594"/>
      <c r="O14" s="594"/>
      <c r="P14" s="594"/>
      <c r="Q14" s="594"/>
      <c r="R14" s="594"/>
      <c r="S14" s="594"/>
      <c r="T14" s="594"/>
      <c r="U14" s="594"/>
      <c r="V14" s="594"/>
      <c r="W14" s="594"/>
      <c r="X14" s="594"/>
      <c r="Y14" s="595"/>
    </row>
    <row r="15" spans="1:28" ht="9.9499999999999993" customHeight="1" x14ac:dyDescent="0.25">
      <c r="A15" s="549">
        <f>1+A12</f>
        <v>3</v>
      </c>
      <c r="B15" s="548"/>
      <c r="C15" s="229"/>
      <c r="D15" s="229"/>
      <c r="E15" s="229"/>
      <c r="F15" s="229"/>
      <c r="G15" s="230"/>
      <c r="H15" s="590"/>
      <c r="I15" s="591"/>
      <c r="J15" s="591"/>
      <c r="K15" s="591"/>
      <c r="L15" s="591"/>
      <c r="M15" s="591"/>
      <c r="N15" s="591"/>
      <c r="O15" s="591"/>
      <c r="P15" s="591"/>
      <c r="Q15" s="591"/>
      <c r="R15" s="591"/>
      <c r="S15" s="591"/>
      <c r="T15" s="591"/>
      <c r="U15" s="591"/>
      <c r="V15" s="591"/>
      <c r="W15" s="591"/>
      <c r="X15" s="591"/>
      <c r="Y15" s="592"/>
    </row>
    <row r="16" spans="1:28" ht="20.100000000000001" customHeight="1" x14ac:dyDescent="0.25">
      <c r="A16" s="550"/>
      <c r="B16" s="548"/>
      <c r="C16" s="585" t="s">
        <v>165</v>
      </c>
      <c r="D16" s="586"/>
      <c r="E16" s="194"/>
      <c r="F16" s="194"/>
      <c r="G16" s="191"/>
      <c r="H16" s="597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  <c r="U16" s="598"/>
      <c r="V16" s="598"/>
      <c r="W16" s="598"/>
      <c r="X16" s="598"/>
      <c r="Y16" s="599"/>
    </row>
    <row r="17" spans="1:25" ht="9.9499999999999993" customHeight="1" x14ac:dyDescent="0.25">
      <c r="A17" s="551"/>
      <c r="B17" s="548"/>
      <c r="C17" s="231"/>
      <c r="D17" s="231"/>
      <c r="E17" s="231"/>
      <c r="F17" s="231"/>
      <c r="G17" s="232"/>
      <c r="H17" s="593"/>
      <c r="I17" s="594"/>
      <c r="J17" s="594"/>
      <c r="K17" s="594"/>
      <c r="L17" s="594"/>
      <c r="M17" s="594"/>
      <c r="N17" s="594"/>
      <c r="O17" s="594"/>
      <c r="P17" s="594"/>
      <c r="Q17" s="594"/>
      <c r="R17" s="594"/>
      <c r="S17" s="594"/>
      <c r="T17" s="594"/>
      <c r="U17" s="594"/>
      <c r="V17" s="594"/>
      <c r="W17" s="594"/>
      <c r="X17" s="594"/>
      <c r="Y17" s="595"/>
    </row>
    <row r="18" spans="1:25" ht="9.9499999999999993" customHeight="1" x14ac:dyDescent="0.25">
      <c r="A18" s="549">
        <f t="shared" ref="A18" si="0">1+A15</f>
        <v>4</v>
      </c>
      <c r="B18" s="548"/>
      <c r="C18" s="229"/>
      <c r="D18" s="229"/>
      <c r="E18" s="229"/>
      <c r="F18" s="229"/>
      <c r="G18" s="230"/>
      <c r="H18" s="590"/>
      <c r="I18" s="591"/>
      <c r="J18" s="591"/>
      <c r="K18" s="591"/>
      <c r="L18" s="591"/>
      <c r="M18" s="591"/>
      <c r="N18" s="591"/>
      <c r="O18" s="591"/>
      <c r="P18" s="591"/>
      <c r="Q18" s="591"/>
      <c r="R18" s="591"/>
      <c r="S18" s="591"/>
      <c r="T18" s="591"/>
      <c r="U18" s="591"/>
      <c r="V18" s="591"/>
      <c r="W18" s="591"/>
      <c r="X18" s="591"/>
      <c r="Y18" s="592"/>
    </row>
    <row r="19" spans="1:25" ht="20.100000000000001" customHeight="1" x14ac:dyDescent="0.25">
      <c r="A19" s="550"/>
      <c r="B19" s="548"/>
      <c r="C19" s="585" t="s">
        <v>165</v>
      </c>
      <c r="D19" s="586"/>
      <c r="E19" s="194"/>
      <c r="F19" s="194"/>
      <c r="G19" s="191"/>
      <c r="H19" s="597"/>
      <c r="I19" s="598"/>
      <c r="J19" s="598"/>
      <c r="K19" s="598"/>
      <c r="L19" s="598"/>
      <c r="M19" s="598"/>
      <c r="N19" s="598"/>
      <c r="O19" s="598"/>
      <c r="P19" s="598"/>
      <c r="Q19" s="598"/>
      <c r="R19" s="598"/>
      <c r="S19" s="598"/>
      <c r="T19" s="598"/>
      <c r="U19" s="598"/>
      <c r="V19" s="598"/>
      <c r="W19" s="598"/>
      <c r="X19" s="598"/>
      <c r="Y19" s="599"/>
    </row>
    <row r="20" spans="1:25" ht="9.9499999999999993" customHeight="1" x14ac:dyDescent="0.25">
      <c r="A20" s="551"/>
      <c r="B20" s="548"/>
      <c r="C20" s="231"/>
      <c r="D20" s="231"/>
      <c r="E20" s="231"/>
      <c r="F20" s="231"/>
      <c r="G20" s="232"/>
      <c r="H20" s="593"/>
      <c r="I20" s="594"/>
      <c r="J20" s="594"/>
      <c r="K20" s="594"/>
      <c r="L20" s="594"/>
      <c r="M20" s="594"/>
      <c r="N20" s="594"/>
      <c r="O20" s="594"/>
      <c r="P20" s="594"/>
      <c r="Q20" s="594"/>
      <c r="R20" s="594"/>
      <c r="S20" s="594"/>
      <c r="T20" s="594"/>
      <c r="U20" s="594"/>
      <c r="V20" s="594"/>
      <c r="W20" s="594"/>
      <c r="X20" s="594"/>
      <c r="Y20" s="595"/>
    </row>
    <row r="21" spans="1:25" ht="9.9499999999999993" customHeight="1" x14ac:dyDescent="0.25">
      <c r="A21" s="549">
        <f t="shared" ref="A21" si="1">1+A18</f>
        <v>5</v>
      </c>
      <c r="B21" s="548"/>
      <c r="C21" s="229"/>
      <c r="D21" s="229"/>
      <c r="E21" s="229"/>
      <c r="F21" s="229"/>
      <c r="G21" s="230"/>
      <c r="H21" s="590"/>
      <c r="I21" s="591"/>
      <c r="J21" s="591"/>
      <c r="K21" s="591"/>
      <c r="L21" s="591"/>
      <c r="M21" s="591"/>
      <c r="N21" s="591"/>
      <c r="O21" s="591"/>
      <c r="P21" s="591"/>
      <c r="Q21" s="591"/>
      <c r="R21" s="591"/>
      <c r="S21" s="591"/>
      <c r="T21" s="591"/>
      <c r="U21" s="591"/>
      <c r="V21" s="591"/>
      <c r="W21" s="591"/>
      <c r="X21" s="591"/>
      <c r="Y21" s="592"/>
    </row>
    <row r="22" spans="1:25" ht="20.100000000000001" customHeight="1" x14ac:dyDescent="0.25">
      <c r="A22" s="550"/>
      <c r="B22" s="548"/>
      <c r="C22" s="585" t="s">
        <v>165</v>
      </c>
      <c r="D22" s="586"/>
      <c r="E22" s="194"/>
      <c r="F22" s="194"/>
      <c r="G22" s="191"/>
      <c r="H22" s="597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  <c r="U22" s="598"/>
      <c r="V22" s="598"/>
      <c r="W22" s="598"/>
      <c r="X22" s="598"/>
      <c r="Y22" s="599"/>
    </row>
    <row r="23" spans="1:25" ht="9.9499999999999993" customHeight="1" x14ac:dyDescent="0.25">
      <c r="A23" s="551"/>
      <c r="B23" s="548"/>
      <c r="C23" s="231"/>
      <c r="D23" s="231"/>
      <c r="E23" s="231"/>
      <c r="F23" s="231"/>
      <c r="G23" s="232"/>
      <c r="H23" s="593"/>
      <c r="I23" s="594"/>
      <c r="J23" s="594"/>
      <c r="K23" s="594"/>
      <c r="L23" s="594"/>
      <c r="M23" s="594"/>
      <c r="N23" s="594"/>
      <c r="O23" s="594"/>
      <c r="P23" s="594"/>
      <c r="Q23" s="594"/>
      <c r="R23" s="594"/>
      <c r="S23" s="594"/>
      <c r="T23" s="594"/>
      <c r="U23" s="594"/>
      <c r="V23" s="594"/>
      <c r="W23" s="594"/>
      <c r="X23" s="594"/>
      <c r="Y23" s="595"/>
    </row>
    <row r="24" spans="1:25" ht="9.9499999999999993" customHeight="1" x14ac:dyDescent="0.25">
      <c r="A24" s="549">
        <f t="shared" ref="A24" si="2">1+A21</f>
        <v>6</v>
      </c>
      <c r="B24" s="548"/>
      <c r="C24" s="229"/>
      <c r="D24" s="229"/>
      <c r="E24" s="229"/>
      <c r="F24" s="229"/>
      <c r="G24" s="230"/>
      <c r="H24" s="590"/>
      <c r="I24" s="591"/>
      <c r="J24" s="591"/>
      <c r="K24" s="591"/>
      <c r="L24" s="591"/>
      <c r="M24" s="591"/>
      <c r="N24" s="591"/>
      <c r="O24" s="591"/>
      <c r="P24" s="591"/>
      <c r="Q24" s="591"/>
      <c r="R24" s="591"/>
      <c r="S24" s="591"/>
      <c r="T24" s="591"/>
      <c r="U24" s="591"/>
      <c r="V24" s="591"/>
      <c r="W24" s="591"/>
      <c r="X24" s="591"/>
      <c r="Y24" s="592"/>
    </row>
    <row r="25" spans="1:25" ht="20.100000000000001" customHeight="1" x14ac:dyDescent="0.25">
      <c r="A25" s="550"/>
      <c r="B25" s="548"/>
      <c r="C25" s="585" t="s">
        <v>165</v>
      </c>
      <c r="D25" s="586"/>
      <c r="E25" s="194"/>
      <c r="F25" s="194"/>
      <c r="G25" s="191"/>
      <c r="H25" s="597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  <c r="U25" s="598"/>
      <c r="V25" s="598"/>
      <c r="W25" s="598"/>
      <c r="X25" s="598"/>
      <c r="Y25" s="599"/>
    </row>
    <row r="26" spans="1:25" ht="9.9499999999999993" customHeight="1" x14ac:dyDescent="0.25">
      <c r="A26" s="551"/>
      <c r="B26" s="548"/>
      <c r="C26" s="231"/>
      <c r="D26" s="231"/>
      <c r="E26" s="231"/>
      <c r="F26" s="231"/>
      <c r="G26" s="232"/>
      <c r="H26" s="593"/>
      <c r="I26" s="594"/>
      <c r="J26" s="594"/>
      <c r="K26" s="594"/>
      <c r="L26" s="594"/>
      <c r="M26" s="594"/>
      <c r="N26" s="594"/>
      <c r="O26" s="594"/>
      <c r="P26" s="594"/>
      <c r="Q26" s="594"/>
      <c r="R26" s="594"/>
      <c r="S26" s="594"/>
      <c r="T26" s="594"/>
      <c r="U26" s="594"/>
      <c r="V26" s="594"/>
      <c r="W26" s="594"/>
      <c r="X26" s="594"/>
      <c r="Y26" s="595"/>
    </row>
    <row r="27" spans="1:25" ht="9.9499999999999993" customHeight="1" x14ac:dyDescent="0.25">
      <c r="A27" s="549">
        <f t="shared" ref="A27" si="3">1+A24</f>
        <v>7</v>
      </c>
      <c r="B27" s="548"/>
      <c r="C27" s="229"/>
      <c r="D27" s="229"/>
      <c r="E27" s="229"/>
      <c r="F27" s="229"/>
      <c r="G27" s="230"/>
      <c r="H27" s="590"/>
      <c r="I27" s="591"/>
      <c r="J27" s="591"/>
      <c r="K27" s="591"/>
      <c r="L27" s="591"/>
      <c r="M27" s="591"/>
      <c r="N27" s="591"/>
      <c r="O27" s="591"/>
      <c r="P27" s="591"/>
      <c r="Q27" s="591"/>
      <c r="R27" s="591"/>
      <c r="S27" s="591"/>
      <c r="T27" s="591"/>
      <c r="U27" s="591"/>
      <c r="V27" s="591"/>
      <c r="W27" s="591"/>
      <c r="X27" s="591"/>
      <c r="Y27" s="592"/>
    </row>
    <row r="28" spans="1:25" ht="20.100000000000001" customHeight="1" x14ac:dyDescent="0.25">
      <c r="A28" s="550"/>
      <c r="B28" s="548"/>
      <c r="C28" s="585" t="s">
        <v>165</v>
      </c>
      <c r="D28" s="586"/>
      <c r="E28" s="194"/>
      <c r="F28" s="194"/>
      <c r="G28" s="191"/>
      <c r="H28" s="597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  <c r="U28" s="598"/>
      <c r="V28" s="598"/>
      <c r="W28" s="598"/>
      <c r="X28" s="598"/>
      <c r="Y28" s="599"/>
    </row>
    <row r="29" spans="1:25" ht="9.9499999999999993" customHeight="1" x14ac:dyDescent="0.25">
      <c r="A29" s="551"/>
      <c r="B29" s="548"/>
      <c r="C29" s="231"/>
      <c r="D29" s="231"/>
      <c r="E29" s="231"/>
      <c r="F29" s="231"/>
      <c r="G29" s="232"/>
      <c r="H29" s="593"/>
      <c r="I29" s="594"/>
      <c r="J29" s="594"/>
      <c r="K29" s="594"/>
      <c r="L29" s="594"/>
      <c r="M29" s="594"/>
      <c r="N29" s="594"/>
      <c r="O29" s="594"/>
      <c r="P29" s="594"/>
      <c r="Q29" s="594"/>
      <c r="R29" s="594"/>
      <c r="S29" s="594"/>
      <c r="T29" s="594"/>
      <c r="U29" s="594"/>
      <c r="V29" s="594"/>
      <c r="W29" s="594"/>
      <c r="X29" s="594"/>
      <c r="Y29" s="595"/>
    </row>
    <row r="30" spans="1:25" ht="9.9499999999999993" customHeight="1" x14ac:dyDescent="0.25">
      <c r="A30" s="549">
        <f t="shared" ref="A30" si="4">1+A27</f>
        <v>8</v>
      </c>
      <c r="B30" s="548"/>
      <c r="C30" s="229"/>
      <c r="D30" s="229"/>
      <c r="E30" s="229"/>
      <c r="F30" s="229"/>
      <c r="G30" s="230"/>
      <c r="H30" s="590"/>
      <c r="I30" s="591"/>
      <c r="J30" s="591"/>
      <c r="K30" s="591"/>
      <c r="L30" s="591"/>
      <c r="M30" s="591"/>
      <c r="N30" s="591"/>
      <c r="O30" s="591"/>
      <c r="P30" s="591"/>
      <c r="Q30" s="591"/>
      <c r="R30" s="591"/>
      <c r="S30" s="591"/>
      <c r="T30" s="591"/>
      <c r="U30" s="591"/>
      <c r="V30" s="591"/>
      <c r="W30" s="591"/>
      <c r="X30" s="591"/>
      <c r="Y30" s="592"/>
    </row>
    <row r="31" spans="1:25" ht="20.100000000000001" customHeight="1" x14ac:dyDescent="0.25">
      <c r="A31" s="550"/>
      <c r="B31" s="548"/>
      <c r="C31" s="585" t="s">
        <v>165</v>
      </c>
      <c r="D31" s="586"/>
      <c r="E31" s="194"/>
      <c r="F31" s="194"/>
      <c r="G31" s="191"/>
      <c r="H31" s="597"/>
      <c r="I31" s="598"/>
      <c r="J31" s="598"/>
      <c r="K31" s="598"/>
      <c r="L31" s="598"/>
      <c r="M31" s="598"/>
      <c r="N31" s="598"/>
      <c r="O31" s="598"/>
      <c r="P31" s="598"/>
      <c r="Q31" s="598"/>
      <c r="R31" s="598"/>
      <c r="S31" s="598"/>
      <c r="T31" s="598"/>
      <c r="U31" s="598"/>
      <c r="V31" s="598"/>
      <c r="W31" s="598"/>
      <c r="X31" s="598"/>
      <c r="Y31" s="599"/>
    </row>
    <row r="32" spans="1:25" ht="9.9499999999999993" customHeight="1" x14ac:dyDescent="0.25">
      <c r="A32" s="551"/>
      <c r="B32" s="548"/>
      <c r="C32" s="231"/>
      <c r="D32" s="231"/>
      <c r="E32" s="231"/>
      <c r="F32" s="231"/>
      <c r="G32" s="232"/>
      <c r="H32" s="593"/>
      <c r="I32" s="594"/>
      <c r="J32" s="594"/>
      <c r="K32" s="594"/>
      <c r="L32" s="594"/>
      <c r="M32" s="594"/>
      <c r="N32" s="594"/>
      <c r="O32" s="594"/>
      <c r="P32" s="594"/>
      <c r="Q32" s="594"/>
      <c r="R32" s="594"/>
      <c r="S32" s="594"/>
      <c r="T32" s="594"/>
      <c r="U32" s="594"/>
      <c r="V32" s="594"/>
      <c r="W32" s="594"/>
      <c r="X32" s="594"/>
      <c r="Y32" s="595"/>
    </row>
    <row r="33" spans="1:25" ht="9.9499999999999993" customHeight="1" x14ac:dyDescent="0.25">
      <c r="A33" s="549">
        <f t="shared" ref="A33" si="5">1+A30</f>
        <v>9</v>
      </c>
      <c r="B33" s="548"/>
      <c r="C33" s="229"/>
      <c r="D33" s="229"/>
      <c r="E33" s="229"/>
      <c r="F33" s="229"/>
      <c r="G33" s="230"/>
      <c r="H33" s="590"/>
      <c r="I33" s="591"/>
      <c r="J33" s="591"/>
      <c r="K33" s="591"/>
      <c r="L33" s="591"/>
      <c r="M33" s="591"/>
      <c r="N33" s="591"/>
      <c r="O33" s="591"/>
      <c r="P33" s="591"/>
      <c r="Q33" s="591"/>
      <c r="R33" s="591"/>
      <c r="S33" s="591"/>
      <c r="T33" s="591"/>
      <c r="U33" s="591"/>
      <c r="V33" s="591"/>
      <c r="W33" s="591"/>
      <c r="X33" s="591"/>
      <c r="Y33" s="592"/>
    </row>
    <row r="34" spans="1:25" ht="20.100000000000001" customHeight="1" x14ac:dyDescent="0.25">
      <c r="A34" s="550"/>
      <c r="B34" s="548"/>
      <c r="C34" s="585" t="s">
        <v>165</v>
      </c>
      <c r="D34" s="586"/>
      <c r="E34" s="194"/>
      <c r="F34" s="194"/>
      <c r="G34" s="191"/>
      <c r="H34" s="597"/>
      <c r="I34" s="598"/>
      <c r="J34" s="598"/>
      <c r="K34" s="598"/>
      <c r="L34" s="598"/>
      <c r="M34" s="598"/>
      <c r="N34" s="598"/>
      <c r="O34" s="598"/>
      <c r="P34" s="598"/>
      <c r="Q34" s="598"/>
      <c r="R34" s="598"/>
      <c r="S34" s="598"/>
      <c r="T34" s="598"/>
      <c r="U34" s="598"/>
      <c r="V34" s="598"/>
      <c r="W34" s="598"/>
      <c r="X34" s="598"/>
      <c r="Y34" s="599"/>
    </row>
    <row r="35" spans="1:25" ht="9.75" customHeight="1" x14ac:dyDescent="0.25">
      <c r="A35" s="551"/>
      <c r="B35" s="548"/>
      <c r="C35" s="231"/>
      <c r="D35" s="231"/>
      <c r="E35" s="231"/>
      <c r="F35" s="231"/>
      <c r="G35" s="232"/>
      <c r="H35" s="593"/>
      <c r="I35" s="594"/>
      <c r="J35" s="594"/>
      <c r="K35" s="594"/>
      <c r="L35" s="594"/>
      <c r="M35" s="594"/>
      <c r="N35" s="594"/>
      <c r="O35" s="594"/>
      <c r="P35" s="594"/>
      <c r="Q35" s="594"/>
      <c r="R35" s="594"/>
      <c r="S35" s="594"/>
      <c r="T35" s="594"/>
      <c r="U35" s="594"/>
      <c r="V35" s="594"/>
      <c r="W35" s="594"/>
      <c r="X35" s="594"/>
      <c r="Y35" s="595"/>
    </row>
    <row r="36" spans="1:25" ht="9.9499999999999993" customHeight="1" x14ac:dyDescent="0.25">
      <c r="A36" s="549">
        <f t="shared" ref="A36" si="6">1+A33</f>
        <v>10</v>
      </c>
      <c r="B36" s="548"/>
      <c r="C36" s="229"/>
      <c r="D36" s="229"/>
      <c r="E36" s="229"/>
      <c r="F36" s="229"/>
      <c r="G36" s="230"/>
      <c r="H36" s="590"/>
      <c r="I36" s="591"/>
      <c r="J36" s="591"/>
      <c r="K36" s="591"/>
      <c r="L36" s="591"/>
      <c r="M36" s="591"/>
      <c r="N36" s="591"/>
      <c r="O36" s="591"/>
      <c r="P36" s="591"/>
      <c r="Q36" s="591"/>
      <c r="R36" s="591"/>
      <c r="S36" s="591"/>
      <c r="T36" s="591"/>
      <c r="U36" s="591"/>
      <c r="V36" s="591"/>
      <c r="W36" s="591"/>
      <c r="X36" s="591"/>
      <c r="Y36" s="592"/>
    </row>
    <row r="37" spans="1:25" ht="20.100000000000001" customHeight="1" x14ac:dyDescent="0.25">
      <c r="A37" s="550"/>
      <c r="B37" s="548"/>
      <c r="C37" s="585" t="s">
        <v>165</v>
      </c>
      <c r="D37" s="586"/>
      <c r="E37" s="194"/>
      <c r="F37" s="194"/>
      <c r="G37" s="191"/>
      <c r="H37" s="597"/>
      <c r="I37" s="598"/>
      <c r="J37" s="598"/>
      <c r="K37" s="598"/>
      <c r="L37" s="598"/>
      <c r="M37" s="598"/>
      <c r="N37" s="598"/>
      <c r="O37" s="598"/>
      <c r="P37" s="598"/>
      <c r="Q37" s="598"/>
      <c r="R37" s="598"/>
      <c r="S37" s="598"/>
      <c r="T37" s="598"/>
      <c r="U37" s="598"/>
      <c r="V37" s="598"/>
      <c r="W37" s="598"/>
      <c r="X37" s="598"/>
      <c r="Y37" s="599"/>
    </row>
    <row r="38" spans="1:25" ht="9.9499999999999993" customHeight="1" x14ac:dyDescent="0.25">
      <c r="A38" s="551"/>
      <c r="B38" s="548"/>
      <c r="C38" s="231"/>
      <c r="D38" s="231"/>
      <c r="E38" s="231"/>
      <c r="F38" s="231"/>
      <c r="G38" s="232"/>
      <c r="H38" s="593"/>
      <c r="I38" s="594"/>
      <c r="J38" s="594"/>
      <c r="K38" s="594"/>
      <c r="L38" s="594"/>
      <c r="M38" s="594"/>
      <c r="N38" s="594"/>
      <c r="O38" s="594"/>
      <c r="P38" s="594"/>
      <c r="Q38" s="594"/>
      <c r="R38" s="594"/>
      <c r="S38" s="594"/>
      <c r="T38" s="594"/>
      <c r="U38" s="594"/>
      <c r="V38" s="594"/>
      <c r="W38" s="594"/>
      <c r="X38" s="594"/>
      <c r="Y38" s="595"/>
    </row>
    <row r="39" spans="1:25" ht="9.9499999999999993" customHeight="1" x14ac:dyDescent="0.25">
      <c r="A39" s="549">
        <f t="shared" ref="A39:A66" si="7">1+A36</f>
        <v>11</v>
      </c>
      <c r="B39" s="548"/>
      <c r="C39" s="229"/>
      <c r="D39" s="229"/>
      <c r="E39" s="229"/>
      <c r="F39" s="229"/>
      <c r="G39" s="230"/>
      <c r="H39" s="590"/>
      <c r="I39" s="591"/>
      <c r="J39" s="591"/>
      <c r="K39" s="591"/>
      <c r="L39" s="591"/>
      <c r="M39" s="591"/>
      <c r="N39" s="591"/>
      <c r="O39" s="591"/>
      <c r="P39" s="591"/>
      <c r="Q39" s="591"/>
      <c r="R39" s="591"/>
      <c r="S39" s="591"/>
      <c r="T39" s="591"/>
      <c r="U39" s="591"/>
      <c r="V39" s="591"/>
      <c r="W39" s="591"/>
      <c r="X39" s="591"/>
      <c r="Y39" s="592"/>
    </row>
    <row r="40" spans="1:25" ht="20.100000000000001" customHeight="1" x14ac:dyDescent="0.25">
      <c r="A40" s="550"/>
      <c r="B40" s="548"/>
      <c r="C40" s="585" t="s">
        <v>165</v>
      </c>
      <c r="D40" s="586"/>
      <c r="E40" s="194"/>
      <c r="F40" s="194"/>
      <c r="G40" s="191"/>
      <c r="H40" s="597"/>
      <c r="I40" s="598"/>
      <c r="J40" s="598"/>
      <c r="K40" s="598"/>
      <c r="L40" s="598"/>
      <c r="M40" s="598"/>
      <c r="N40" s="598"/>
      <c r="O40" s="598"/>
      <c r="P40" s="598"/>
      <c r="Q40" s="598"/>
      <c r="R40" s="598"/>
      <c r="S40" s="598"/>
      <c r="T40" s="598"/>
      <c r="U40" s="598"/>
      <c r="V40" s="598"/>
      <c r="W40" s="598"/>
      <c r="X40" s="598"/>
      <c r="Y40" s="599"/>
    </row>
    <row r="41" spans="1:25" ht="9.9499999999999993" customHeight="1" x14ac:dyDescent="0.25">
      <c r="A41" s="551"/>
      <c r="B41" s="548"/>
      <c r="C41" s="231"/>
      <c r="D41" s="231"/>
      <c r="E41" s="231"/>
      <c r="F41" s="231"/>
      <c r="G41" s="232"/>
      <c r="H41" s="593"/>
      <c r="I41" s="594"/>
      <c r="J41" s="594"/>
      <c r="K41" s="594"/>
      <c r="L41" s="594"/>
      <c r="M41" s="594"/>
      <c r="N41" s="594"/>
      <c r="O41" s="594"/>
      <c r="P41" s="594"/>
      <c r="Q41" s="594"/>
      <c r="R41" s="594"/>
      <c r="S41" s="594"/>
      <c r="T41" s="594"/>
      <c r="U41" s="594"/>
      <c r="V41" s="594"/>
      <c r="W41" s="594"/>
      <c r="X41" s="594"/>
      <c r="Y41" s="595"/>
    </row>
    <row r="42" spans="1:25" ht="9.9499999999999993" customHeight="1" x14ac:dyDescent="0.25">
      <c r="A42" s="549">
        <f t="shared" si="7"/>
        <v>12</v>
      </c>
      <c r="B42" s="548"/>
      <c r="C42" s="229"/>
      <c r="D42" s="229"/>
      <c r="E42" s="229"/>
      <c r="F42" s="229"/>
      <c r="G42" s="230"/>
      <c r="H42" s="590"/>
      <c r="I42" s="591"/>
      <c r="J42" s="591"/>
      <c r="K42" s="591"/>
      <c r="L42" s="591"/>
      <c r="M42" s="591"/>
      <c r="N42" s="591"/>
      <c r="O42" s="591"/>
      <c r="P42" s="591"/>
      <c r="Q42" s="591"/>
      <c r="R42" s="591"/>
      <c r="S42" s="591"/>
      <c r="T42" s="591"/>
      <c r="U42" s="591"/>
      <c r="V42" s="591"/>
      <c r="W42" s="591"/>
      <c r="X42" s="591"/>
      <c r="Y42" s="592"/>
    </row>
    <row r="43" spans="1:25" ht="20.100000000000001" customHeight="1" x14ac:dyDescent="0.25">
      <c r="A43" s="550"/>
      <c r="B43" s="548"/>
      <c r="C43" s="585" t="s">
        <v>165</v>
      </c>
      <c r="D43" s="586"/>
      <c r="E43" s="194"/>
      <c r="F43" s="194"/>
      <c r="G43" s="191"/>
      <c r="H43" s="597"/>
      <c r="I43" s="598"/>
      <c r="J43" s="598"/>
      <c r="K43" s="598"/>
      <c r="L43" s="598"/>
      <c r="M43" s="598"/>
      <c r="N43" s="598"/>
      <c r="O43" s="598"/>
      <c r="P43" s="598"/>
      <c r="Q43" s="598"/>
      <c r="R43" s="598"/>
      <c r="S43" s="598"/>
      <c r="T43" s="598"/>
      <c r="U43" s="598"/>
      <c r="V43" s="598"/>
      <c r="W43" s="598"/>
      <c r="X43" s="598"/>
      <c r="Y43" s="599"/>
    </row>
    <row r="44" spans="1:25" ht="9.9499999999999993" customHeight="1" x14ac:dyDescent="0.25">
      <c r="A44" s="551"/>
      <c r="B44" s="548"/>
      <c r="C44" s="231"/>
      <c r="D44" s="231"/>
      <c r="E44" s="231"/>
      <c r="F44" s="231"/>
      <c r="G44" s="232"/>
      <c r="H44" s="593"/>
      <c r="I44" s="594"/>
      <c r="J44" s="594"/>
      <c r="K44" s="594"/>
      <c r="L44" s="594"/>
      <c r="M44" s="594"/>
      <c r="N44" s="594"/>
      <c r="O44" s="594"/>
      <c r="P44" s="594"/>
      <c r="Q44" s="594"/>
      <c r="R44" s="594"/>
      <c r="S44" s="594"/>
      <c r="T44" s="594"/>
      <c r="U44" s="594"/>
      <c r="V44" s="594"/>
      <c r="W44" s="594"/>
      <c r="X44" s="594"/>
      <c r="Y44" s="595"/>
    </row>
    <row r="45" spans="1:25" ht="9.9499999999999993" customHeight="1" x14ac:dyDescent="0.25">
      <c r="A45" s="549">
        <f t="shared" si="7"/>
        <v>13</v>
      </c>
      <c r="B45" s="548"/>
      <c r="C45" s="229"/>
      <c r="D45" s="229"/>
      <c r="E45" s="229"/>
      <c r="F45" s="229"/>
      <c r="G45" s="230"/>
      <c r="H45" s="590"/>
      <c r="I45" s="591"/>
      <c r="J45" s="591"/>
      <c r="K45" s="591"/>
      <c r="L45" s="591"/>
      <c r="M45" s="591"/>
      <c r="N45" s="591"/>
      <c r="O45" s="591"/>
      <c r="P45" s="591"/>
      <c r="Q45" s="591"/>
      <c r="R45" s="591"/>
      <c r="S45" s="591"/>
      <c r="T45" s="591"/>
      <c r="U45" s="591"/>
      <c r="V45" s="591"/>
      <c r="W45" s="591"/>
      <c r="X45" s="591"/>
      <c r="Y45" s="592"/>
    </row>
    <row r="46" spans="1:25" ht="20.100000000000001" customHeight="1" x14ac:dyDescent="0.25">
      <c r="A46" s="550"/>
      <c r="B46" s="548"/>
      <c r="C46" s="585" t="s">
        <v>165</v>
      </c>
      <c r="D46" s="586"/>
      <c r="E46" s="194"/>
      <c r="F46" s="194"/>
      <c r="G46" s="191"/>
      <c r="H46" s="597"/>
      <c r="I46" s="598"/>
      <c r="J46" s="598"/>
      <c r="K46" s="598"/>
      <c r="L46" s="598"/>
      <c r="M46" s="598"/>
      <c r="N46" s="598"/>
      <c r="O46" s="598"/>
      <c r="P46" s="598"/>
      <c r="Q46" s="598"/>
      <c r="R46" s="598"/>
      <c r="S46" s="598"/>
      <c r="T46" s="598"/>
      <c r="U46" s="598"/>
      <c r="V46" s="598"/>
      <c r="W46" s="598"/>
      <c r="X46" s="598"/>
      <c r="Y46" s="599"/>
    </row>
    <row r="47" spans="1:25" ht="9.9499999999999993" customHeight="1" x14ac:dyDescent="0.25">
      <c r="A47" s="551"/>
      <c r="B47" s="548"/>
      <c r="C47" s="231"/>
      <c r="D47" s="231"/>
      <c r="E47" s="231"/>
      <c r="F47" s="231"/>
      <c r="G47" s="232"/>
      <c r="H47" s="593"/>
      <c r="I47" s="594"/>
      <c r="J47" s="594"/>
      <c r="K47" s="594"/>
      <c r="L47" s="594"/>
      <c r="M47" s="594"/>
      <c r="N47" s="594"/>
      <c r="O47" s="594"/>
      <c r="P47" s="594"/>
      <c r="Q47" s="594"/>
      <c r="R47" s="594"/>
      <c r="S47" s="594"/>
      <c r="T47" s="594"/>
      <c r="U47" s="594"/>
      <c r="V47" s="594"/>
      <c r="W47" s="594"/>
      <c r="X47" s="594"/>
      <c r="Y47" s="595"/>
    </row>
    <row r="48" spans="1:25" ht="9.9499999999999993" customHeight="1" x14ac:dyDescent="0.25">
      <c r="A48" s="549">
        <f t="shared" si="7"/>
        <v>14</v>
      </c>
      <c r="B48" s="548"/>
      <c r="C48" s="229"/>
      <c r="D48" s="229"/>
      <c r="E48" s="229"/>
      <c r="F48" s="229"/>
      <c r="G48" s="230"/>
      <c r="H48" s="590"/>
      <c r="I48" s="591"/>
      <c r="J48" s="591"/>
      <c r="K48" s="591"/>
      <c r="L48" s="591"/>
      <c r="M48" s="591"/>
      <c r="N48" s="591"/>
      <c r="O48" s="591"/>
      <c r="P48" s="591"/>
      <c r="Q48" s="591"/>
      <c r="R48" s="591"/>
      <c r="S48" s="591"/>
      <c r="T48" s="591"/>
      <c r="U48" s="591"/>
      <c r="V48" s="591"/>
      <c r="W48" s="591"/>
      <c r="X48" s="591"/>
      <c r="Y48" s="592"/>
    </row>
    <row r="49" spans="1:25" ht="20.100000000000001" customHeight="1" x14ac:dyDescent="0.25">
      <c r="A49" s="550"/>
      <c r="B49" s="548"/>
      <c r="C49" s="585" t="s">
        <v>165</v>
      </c>
      <c r="D49" s="586"/>
      <c r="E49" s="194"/>
      <c r="F49" s="194"/>
      <c r="G49" s="191"/>
      <c r="H49" s="597"/>
      <c r="I49" s="598"/>
      <c r="J49" s="598"/>
      <c r="K49" s="598"/>
      <c r="L49" s="598"/>
      <c r="M49" s="598"/>
      <c r="N49" s="598"/>
      <c r="O49" s="598"/>
      <c r="P49" s="598"/>
      <c r="Q49" s="598"/>
      <c r="R49" s="598"/>
      <c r="S49" s="598"/>
      <c r="T49" s="598"/>
      <c r="U49" s="598"/>
      <c r="V49" s="598"/>
      <c r="W49" s="598"/>
      <c r="X49" s="598"/>
      <c r="Y49" s="599"/>
    </row>
    <row r="50" spans="1:25" ht="9.9499999999999993" customHeight="1" x14ac:dyDescent="0.25">
      <c r="A50" s="551"/>
      <c r="B50" s="548"/>
      <c r="C50" s="231"/>
      <c r="D50" s="231"/>
      <c r="E50" s="231"/>
      <c r="F50" s="231"/>
      <c r="G50" s="232"/>
      <c r="H50" s="593"/>
      <c r="I50" s="594"/>
      <c r="J50" s="594"/>
      <c r="K50" s="594"/>
      <c r="L50" s="594"/>
      <c r="M50" s="594"/>
      <c r="N50" s="594"/>
      <c r="O50" s="594"/>
      <c r="P50" s="594"/>
      <c r="Q50" s="594"/>
      <c r="R50" s="594"/>
      <c r="S50" s="594"/>
      <c r="T50" s="594"/>
      <c r="U50" s="594"/>
      <c r="V50" s="594"/>
      <c r="W50" s="594"/>
      <c r="X50" s="594"/>
      <c r="Y50" s="595"/>
    </row>
    <row r="51" spans="1:25" ht="9.9499999999999993" customHeight="1" x14ac:dyDescent="0.25">
      <c r="A51" s="549">
        <f t="shared" si="7"/>
        <v>15</v>
      </c>
      <c r="B51" s="548"/>
      <c r="C51" s="229"/>
      <c r="D51" s="229"/>
      <c r="E51" s="229"/>
      <c r="F51" s="229"/>
      <c r="G51" s="230"/>
      <c r="H51" s="590"/>
      <c r="I51" s="591"/>
      <c r="J51" s="591"/>
      <c r="K51" s="591"/>
      <c r="L51" s="591"/>
      <c r="M51" s="591"/>
      <c r="N51" s="591"/>
      <c r="O51" s="591"/>
      <c r="P51" s="591"/>
      <c r="Q51" s="591"/>
      <c r="R51" s="591"/>
      <c r="S51" s="591"/>
      <c r="T51" s="591"/>
      <c r="U51" s="591"/>
      <c r="V51" s="591"/>
      <c r="W51" s="591"/>
      <c r="X51" s="591"/>
      <c r="Y51" s="592"/>
    </row>
    <row r="52" spans="1:25" ht="20.100000000000001" customHeight="1" x14ac:dyDescent="0.25">
      <c r="A52" s="550"/>
      <c r="B52" s="548"/>
      <c r="C52" s="585" t="s">
        <v>165</v>
      </c>
      <c r="D52" s="586"/>
      <c r="E52" s="194"/>
      <c r="F52" s="194"/>
      <c r="G52" s="191"/>
      <c r="H52" s="597"/>
      <c r="I52" s="598"/>
      <c r="J52" s="598"/>
      <c r="K52" s="598"/>
      <c r="L52" s="598"/>
      <c r="M52" s="598"/>
      <c r="N52" s="598"/>
      <c r="O52" s="598"/>
      <c r="P52" s="598"/>
      <c r="Q52" s="598"/>
      <c r="R52" s="598"/>
      <c r="S52" s="598"/>
      <c r="T52" s="598"/>
      <c r="U52" s="598"/>
      <c r="V52" s="598"/>
      <c r="W52" s="598"/>
      <c r="X52" s="598"/>
      <c r="Y52" s="599"/>
    </row>
    <row r="53" spans="1:25" ht="9.9499999999999993" customHeight="1" x14ac:dyDescent="0.25">
      <c r="A53" s="551"/>
      <c r="B53" s="548"/>
      <c r="C53" s="231"/>
      <c r="D53" s="231"/>
      <c r="E53" s="231"/>
      <c r="F53" s="231"/>
      <c r="G53" s="232"/>
      <c r="H53" s="593"/>
      <c r="I53" s="594"/>
      <c r="J53" s="594"/>
      <c r="K53" s="594"/>
      <c r="L53" s="594"/>
      <c r="M53" s="594"/>
      <c r="N53" s="594"/>
      <c r="O53" s="594"/>
      <c r="P53" s="594"/>
      <c r="Q53" s="594"/>
      <c r="R53" s="594"/>
      <c r="S53" s="594"/>
      <c r="T53" s="594"/>
      <c r="U53" s="594"/>
      <c r="V53" s="594"/>
      <c r="W53" s="594"/>
      <c r="X53" s="594"/>
      <c r="Y53" s="595"/>
    </row>
    <row r="54" spans="1:25" ht="9.9499999999999993" customHeight="1" x14ac:dyDescent="0.25">
      <c r="A54" s="549">
        <f t="shared" si="7"/>
        <v>16</v>
      </c>
      <c r="B54" s="548"/>
      <c r="C54" s="229"/>
      <c r="D54" s="229"/>
      <c r="E54" s="229"/>
      <c r="F54" s="229"/>
      <c r="G54" s="230"/>
      <c r="H54" s="590"/>
      <c r="I54" s="591"/>
      <c r="J54" s="591"/>
      <c r="K54" s="591"/>
      <c r="L54" s="591"/>
      <c r="M54" s="591"/>
      <c r="N54" s="591"/>
      <c r="O54" s="591"/>
      <c r="P54" s="591"/>
      <c r="Q54" s="591"/>
      <c r="R54" s="591"/>
      <c r="S54" s="591"/>
      <c r="T54" s="591"/>
      <c r="U54" s="591"/>
      <c r="V54" s="591"/>
      <c r="W54" s="591"/>
      <c r="X54" s="591"/>
      <c r="Y54" s="592"/>
    </row>
    <row r="55" spans="1:25" ht="20.100000000000001" customHeight="1" x14ac:dyDescent="0.25">
      <c r="A55" s="550"/>
      <c r="B55" s="548"/>
      <c r="C55" s="585" t="s">
        <v>165</v>
      </c>
      <c r="D55" s="586"/>
      <c r="E55" s="194"/>
      <c r="F55" s="194"/>
      <c r="G55" s="191"/>
      <c r="H55" s="597"/>
      <c r="I55" s="598"/>
      <c r="J55" s="598"/>
      <c r="K55" s="598"/>
      <c r="L55" s="598"/>
      <c r="M55" s="598"/>
      <c r="N55" s="598"/>
      <c r="O55" s="598"/>
      <c r="P55" s="598"/>
      <c r="Q55" s="598"/>
      <c r="R55" s="598"/>
      <c r="S55" s="598"/>
      <c r="T55" s="598"/>
      <c r="U55" s="598"/>
      <c r="V55" s="598"/>
      <c r="W55" s="598"/>
      <c r="X55" s="598"/>
      <c r="Y55" s="599"/>
    </row>
    <row r="56" spans="1:25" ht="9.9499999999999993" customHeight="1" x14ac:dyDescent="0.25">
      <c r="A56" s="551"/>
      <c r="B56" s="548"/>
      <c r="C56" s="231"/>
      <c r="D56" s="231"/>
      <c r="E56" s="231"/>
      <c r="F56" s="231"/>
      <c r="G56" s="232"/>
      <c r="H56" s="593"/>
      <c r="I56" s="594"/>
      <c r="J56" s="594"/>
      <c r="K56" s="594"/>
      <c r="L56" s="594"/>
      <c r="M56" s="594"/>
      <c r="N56" s="594"/>
      <c r="O56" s="594"/>
      <c r="P56" s="594"/>
      <c r="Q56" s="594"/>
      <c r="R56" s="594"/>
      <c r="S56" s="594"/>
      <c r="T56" s="594"/>
      <c r="U56" s="594"/>
      <c r="V56" s="594"/>
      <c r="W56" s="594"/>
      <c r="X56" s="594"/>
      <c r="Y56" s="595"/>
    </row>
    <row r="57" spans="1:25" ht="9.9499999999999993" customHeight="1" x14ac:dyDescent="0.25">
      <c r="A57" s="549">
        <f t="shared" si="7"/>
        <v>17</v>
      </c>
      <c r="B57" s="548"/>
      <c r="C57" s="229"/>
      <c r="D57" s="229"/>
      <c r="E57" s="229"/>
      <c r="F57" s="229"/>
      <c r="G57" s="230"/>
      <c r="H57" s="590"/>
      <c r="I57" s="591"/>
      <c r="J57" s="591"/>
      <c r="K57" s="591"/>
      <c r="L57" s="591"/>
      <c r="M57" s="591"/>
      <c r="N57" s="591"/>
      <c r="O57" s="591"/>
      <c r="P57" s="591"/>
      <c r="Q57" s="591"/>
      <c r="R57" s="591"/>
      <c r="S57" s="591"/>
      <c r="T57" s="591"/>
      <c r="U57" s="591"/>
      <c r="V57" s="591"/>
      <c r="W57" s="591"/>
      <c r="X57" s="591"/>
      <c r="Y57" s="592"/>
    </row>
    <row r="58" spans="1:25" ht="20.100000000000001" customHeight="1" x14ac:dyDescent="0.25">
      <c r="A58" s="550"/>
      <c r="B58" s="548"/>
      <c r="C58" s="585" t="s">
        <v>165</v>
      </c>
      <c r="D58" s="586"/>
      <c r="E58" s="194"/>
      <c r="F58" s="194"/>
      <c r="G58" s="191"/>
      <c r="H58" s="597"/>
      <c r="I58" s="598"/>
      <c r="J58" s="598"/>
      <c r="K58" s="598"/>
      <c r="L58" s="598"/>
      <c r="M58" s="598"/>
      <c r="N58" s="598"/>
      <c r="O58" s="598"/>
      <c r="P58" s="598"/>
      <c r="Q58" s="598"/>
      <c r="R58" s="598"/>
      <c r="S58" s="598"/>
      <c r="T58" s="598"/>
      <c r="U58" s="598"/>
      <c r="V58" s="598"/>
      <c r="W58" s="598"/>
      <c r="X58" s="598"/>
      <c r="Y58" s="599"/>
    </row>
    <row r="59" spans="1:25" ht="9.9499999999999993" customHeight="1" x14ac:dyDescent="0.25">
      <c r="A59" s="551"/>
      <c r="B59" s="548"/>
      <c r="C59" s="231"/>
      <c r="D59" s="231"/>
      <c r="E59" s="231"/>
      <c r="F59" s="231"/>
      <c r="G59" s="232"/>
      <c r="H59" s="593"/>
      <c r="I59" s="594"/>
      <c r="J59" s="594"/>
      <c r="K59" s="594"/>
      <c r="L59" s="594"/>
      <c r="M59" s="594"/>
      <c r="N59" s="594"/>
      <c r="O59" s="594"/>
      <c r="P59" s="594"/>
      <c r="Q59" s="594"/>
      <c r="R59" s="594"/>
      <c r="S59" s="594"/>
      <c r="T59" s="594"/>
      <c r="U59" s="594"/>
      <c r="V59" s="594"/>
      <c r="W59" s="594"/>
      <c r="X59" s="594"/>
      <c r="Y59" s="595"/>
    </row>
    <row r="60" spans="1:25" ht="9.9499999999999993" customHeight="1" x14ac:dyDescent="0.25">
      <c r="A60" s="549">
        <f t="shared" si="7"/>
        <v>18</v>
      </c>
      <c r="B60" s="548"/>
      <c r="C60" s="229"/>
      <c r="D60" s="229"/>
      <c r="E60" s="229"/>
      <c r="F60" s="229"/>
      <c r="G60" s="230"/>
      <c r="H60" s="590"/>
      <c r="I60" s="591"/>
      <c r="J60" s="591"/>
      <c r="K60" s="591"/>
      <c r="L60" s="591"/>
      <c r="M60" s="591"/>
      <c r="N60" s="591"/>
      <c r="O60" s="591"/>
      <c r="P60" s="591"/>
      <c r="Q60" s="591"/>
      <c r="R60" s="591"/>
      <c r="S60" s="591"/>
      <c r="T60" s="591"/>
      <c r="U60" s="591"/>
      <c r="V60" s="591"/>
      <c r="W60" s="591"/>
      <c r="X60" s="591"/>
      <c r="Y60" s="592"/>
    </row>
    <row r="61" spans="1:25" ht="20.100000000000001" customHeight="1" x14ac:dyDescent="0.25">
      <c r="A61" s="550"/>
      <c r="B61" s="548"/>
      <c r="C61" s="585" t="s">
        <v>165</v>
      </c>
      <c r="D61" s="586"/>
      <c r="E61" s="194"/>
      <c r="F61" s="194"/>
      <c r="G61" s="191"/>
      <c r="H61" s="597"/>
      <c r="I61" s="598"/>
      <c r="J61" s="598"/>
      <c r="K61" s="598"/>
      <c r="L61" s="598"/>
      <c r="M61" s="598"/>
      <c r="N61" s="598"/>
      <c r="O61" s="598"/>
      <c r="P61" s="598"/>
      <c r="Q61" s="598"/>
      <c r="R61" s="598"/>
      <c r="S61" s="598"/>
      <c r="T61" s="598"/>
      <c r="U61" s="598"/>
      <c r="V61" s="598"/>
      <c r="W61" s="598"/>
      <c r="X61" s="598"/>
      <c r="Y61" s="599"/>
    </row>
    <row r="62" spans="1:25" ht="9.9499999999999993" customHeight="1" x14ac:dyDescent="0.25">
      <c r="A62" s="551"/>
      <c r="B62" s="548"/>
      <c r="C62" s="231"/>
      <c r="D62" s="231"/>
      <c r="E62" s="231"/>
      <c r="F62" s="231"/>
      <c r="G62" s="232"/>
      <c r="H62" s="593"/>
      <c r="I62" s="594"/>
      <c r="J62" s="594"/>
      <c r="K62" s="594"/>
      <c r="L62" s="594"/>
      <c r="M62" s="594"/>
      <c r="N62" s="594"/>
      <c r="O62" s="594"/>
      <c r="P62" s="594"/>
      <c r="Q62" s="594"/>
      <c r="R62" s="594"/>
      <c r="S62" s="594"/>
      <c r="T62" s="594"/>
      <c r="U62" s="594"/>
      <c r="V62" s="594"/>
      <c r="W62" s="594"/>
      <c r="X62" s="594"/>
      <c r="Y62" s="595"/>
    </row>
    <row r="63" spans="1:25" ht="9.9499999999999993" customHeight="1" x14ac:dyDescent="0.25">
      <c r="A63" s="549">
        <f t="shared" si="7"/>
        <v>19</v>
      </c>
      <c r="B63" s="548"/>
      <c r="C63" s="229"/>
      <c r="D63" s="229"/>
      <c r="E63" s="229"/>
      <c r="F63" s="229"/>
      <c r="G63" s="230"/>
      <c r="H63" s="590"/>
      <c r="I63" s="591"/>
      <c r="J63" s="591"/>
      <c r="K63" s="591"/>
      <c r="L63" s="591"/>
      <c r="M63" s="591"/>
      <c r="N63" s="591"/>
      <c r="O63" s="591"/>
      <c r="P63" s="591"/>
      <c r="Q63" s="591"/>
      <c r="R63" s="591"/>
      <c r="S63" s="591"/>
      <c r="T63" s="591"/>
      <c r="U63" s="591"/>
      <c r="V63" s="591"/>
      <c r="W63" s="591"/>
      <c r="X63" s="591"/>
      <c r="Y63" s="592"/>
    </row>
    <row r="64" spans="1:25" ht="20.100000000000001" customHeight="1" x14ac:dyDescent="0.25">
      <c r="A64" s="550"/>
      <c r="B64" s="548"/>
      <c r="C64" s="585" t="s">
        <v>165</v>
      </c>
      <c r="D64" s="586"/>
      <c r="E64" s="194"/>
      <c r="F64" s="194"/>
      <c r="G64" s="191"/>
      <c r="H64" s="597"/>
      <c r="I64" s="598"/>
      <c r="J64" s="598"/>
      <c r="K64" s="598"/>
      <c r="L64" s="598"/>
      <c r="M64" s="598"/>
      <c r="N64" s="598"/>
      <c r="O64" s="598"/>
      <c r="P64" s="598"/>
      <c r="Q64" s="598"/>
      <c r="R64" s="598"/>
      <c r="S64" s="598"/>
      <c r="T64" s="598"/>
      <c r="U64" s="598"/>
      <c r="V64" s="598"/>
      <c r="W64" s="598"/>
      <c r="X64" s="598"/>
      <c r="Y64" s="599"/>
    </row>
    <row r="65" spans="1:25" ht="9.9499999999999993" customHeight="1" x14ac:dyDescent="0.25">
      <c r="A65" s="551"/>
      <c r="B65" s="548"/>
      <c r="C65" s="231"/>
      <c r="D65" s="231"/>
      <c r="E65" s="231"/>
      <c r="F65" s="231"/>
      <c r="G65" s="232"/>
      <c r="H65" s="593"/>
      <c r="I65" s="594"/>
      <c r="J65" s="594"/>
      <c r="K65" s="594"/>
      <c r="L65" s="594"/>
      <c r="M65" s="594"/>
      <c r="N65" s="594"/>
      <c r="O65" s="594"/>
      <c r="P65" s="594"/>
      <c r="Q65" s="594"/>
      <c r="R65" s="594"/>
      <c r="S65" s="594"/>
      <c r="T65" s="594"/>
      <c r="U65" s="594"/>
      <c r="V65" s="594"/>
      <c r="W65" s="594"/>
      <c r="X65" s="594"/>
      <c r="Y65" s="595"/>
    </row>
    <row r="66" spans="1:25" ht="9.9499999999999993" customHeight="1" x14ac:dyDescent="0.25">
      <c r="A66" s="549">
        <f t="shared" si="7"/>
        <v>20</v>
      </c>
      <c r="B66" s="548"/>
      <c r="C66" s="229"/>
      <c r="D66" s="229"/>
      <c r="E66" s="229"/>
      <c r="F66" s="229"/>
      <c r="G66" s="230"/>
      <c r="H66" s="590"/>
      <c r="I66" s="591"/>
      <c r="J66" s="591"/>
      <c r="K66" s="591"/>
      <c r="L66" s="591"/>
      <c r="M66" s="591"/>
      <c r="N66" s="591"/>
      <c r="O66" s="591"/>
      <c r="P66" s="591"/>
      <c r="Q66" s="591"/>
      <c r="R66" s="591"/>
      <c r="S66" s="591"/>
      <c r="T66" s="591"/>
      <c r="U66" s="591"/>
      <c r="V66" s="591"/>
      <c r="W66" s="591"/>
      <c r="X66" s="591"/>
      <c r="Y66" s="592"/>
    </row>
    <row r="67" spans="1:25" ht="20.100000000000001" customHeight="1" x14ac:dyDescent="0.25">
      <c r="A67" s="550"/>
      <c r="B67" s="548"/>
      <c r="C67" s="585" t="s">
        <v>165</v>
      </c>
      <c r="D67" s="586"/>
      <c r="E67" s="194"/>
      <c r="F67" s="194"/>
      <c r="G67" s="191"/>
      <c r="H67" s="597"/>
      <c r="I67" s="598"/>
      <c r="J67" s="598"/>
      <c r="K67" s="598"/>
      <c r="L67" s="598"/>
      <c r="M67" s="598"/>
      <c r="N67" s="598"/>
      <c r="O67" s="598"/>
      <c r="P67" s="598"/>
      <c r="Q67" s="598"/>
      <c r="R67" s="598"/>
      <c r="S67" s="598"/>
      <c r="T67" s="598"/>
      <c r="U67" s="598"/>
      <c r="V67" s="598"/>
      <c r="W67" s="598"/>
      <c r="X67" s="598"/>
      <c r="Y67" s="599"/>
    </row>
    <row r="68" spans="1:25" ht="9.9499999999999993" customHeight="1" x14ac:dyDescent="0.25">
      <c r="A68" s="551"/>
      <c r="B68" s="548"/>
      <c r="C68" s="231"/>
      <c r="D68" s="231"/>
      <c r="E68" s="231"/>
      <c r="F68" s="231"/>
      <c r="G68" s="232"/>
      <c r="H68" s="593"/>
      <c r="I68" s="594"/>
      <c r="J68" s="594"/>
      <c r="K68" s="594"/>
      <c r="L68" s="594"/>
      <c r="M68" s="594"/>
      <c r="N68" s="594"/>
      <c r="O68" s="594"/>
      <c r="P68" s="594"/>
      <c r="Q68" s="594"/>
      <c r="R68" s="594"/>
      <c r="S68" s="594"/>
      <c r="T68" s="594"/>
      <c r="U68" s="594"/>
      <c r="V68" s="594"/>
      <c r="W68" s="594"/>
      <c r="X68" s="594"/>
      <c r="Y68" s="595"/>
    </row>
    <row r="69" spans="1:25" ht="9.9499999999999993" customHeight="1" x14ac:dyDescent="0.25">
      <c r="A69" s="549">
        <f t="shared" ref="A69:A96" si="8">1+A66</f>
        <v>21</v>
      </c>
      <c r="B69" s="548"/>
      <c r="C69" s="229"/>
      <c r="D69" s="229"/>
      <c r="E69" s="229"/>
      <c r="F69" s="229"/>
      <c r="G69" s="230"/>
      <c r="H69" s="590"/>
      <c r="I69" s="591"/>
      <c r="J69" s="591"/>
      <c r="K69" s="591"/>
      <c r="L69" s="591"/>
      <c r="M69" s="591"/>
      <c r="N69" s="591"/>
      <c r="O69" s="591"/>
      <c r="P69" s="591"/>
      <c r="Q69" s="591"/>
      <c r="R69" s="591"/>
      <c r="S69" s="591"/>
      <c r="T69" s="591"/>
      <c r="U69" s="591"/>
      <c r="V69" s="591"/>
      <c r="W69" s="591"/>
      <c r="X69" s="591"/>
      <c r="Y69" s="592"/>
    </row>
    <row r="70" spans="1:25" ht="20.100000000000001" customHeight="1" x14ac:dyDescent="0.25">
      <c r="A70" s="550"/>
      <c r="B70" s="548"/>
      <c r="C70" s="585" t="s">
        <v>165</v>
      </c>
      <c r="D70" s="586"/>
      <c r="E70" s="194"/>
      <c r="F70" s="194"/>
      <c r="G70" s="191"/>
      <c r="H70" s="597"/>
      <c r="I70" s="598"/>
      <c r="J70" s="598"/>
      <c r="K70" s="598"/>
      <c r="L70" s="598"/>
      <c r="M70" s="598"/>
      <c r="N70" s="598"/>
      <c r="O70" s="598"/>
      <c r="P70" s="598"/>
      <c r="Q70" s="598"/>
      <c r="R70" s="598"/>
      <c r="S70" s="598"/>
      <c r="T70" s="598"/>
      <c r="U70" s="598"/>
      <c r="V70" s="598"/>
      <c r="W70" s="598"/>
      <c r="X70" s="598"/>
      <c r="Y70" s="599"/>
    </row>
    <row r="71" spans="1:25" ht="9.9499999999999993" customHeight="1" x14ac:dyDescent="0.25">
      <c r="A71" s="551"/>
      <c r="B71" s="548"/>
      <c r="C71" s="231"/>
      <c r="D71" s="231"/>
      <c r="E71" s="231"/>
      <c r="F71" s="231"/>
      <c r="G71" s="232"/>
      <c r="H71" s="593"/>
      <c r="I71" s="594"/>
      <c r="J71" s="594"/>
      <c r="K71" s="594"/>
      <c r="L71" s="594"/>
      <c r="M71" s="594"/>
      <c r="N71" s="594"/>
      <c r="O71" s="594"/>
      <c r="P71" s="594"/>
      <c r="Q71" s="594"/>
      <c r="R71" s="594"/>
      <c r="S71" s="594"/>
      <c r="T71" s="594"/>
      <c r="U71" s="594"/>
      <c r="V71" s="594"/>
      <c r="W71" s="594"/>
      <c r="X71" s="594"/>
      <c r="Y71" s="595"/>
    </row>
    <row r="72" spans="1:25" ht="9.9499999999999993" customHeight="1" x14ac:dyDescent="0.25">
      <c r="A72" s="549">
        <f t="shared" si="8"/>
        <v>22</v>
      </c>
      <c r="B72" s="548"/>
      <c r="C72" s="229"/>
      <c r="D72" s="229"/>
      <c r="E72" s="229"/>
      <c r="F72" s="229"/>
      <c r="G72" s="230"/>
      <c r="H72" s="590"/>
      <c r="I72" s="591"/>
      <c r="J72" s="591"/>
      <c r="K72" s="591"/>
      <c r="L72" s="591"/>
      <c r="M72" s="591"/>
      <c r="N72" s="591"/>
      <c r="O72" s="591"/>
      <c r="P72" s="591"/>
      <c r="Q72" s="591"/>
      <c r="R72" s="591"/>
      <c r="S72" s="591"/>
      <c r="T72" s="591"/>
      <c r="U72" s="591"/>
      <c r="V72" s="591"/>
      <c r="W72" s="591"/>
      <c r="X72" s="591"/>
      <c r="Y72" s="592"/>
    </row>
    <row r="73" spans="1:25" ht="20.100000000000001" customHeight="1" x14ac:dyDescent="0.25">
      <c r="A73" s="550"/>
      <c r="B73" s="548"/>
      <c r="C73" s="585" t="s">
        <v>165</v>
      </c>
      <c r="D73" s="586"/>
      <c r="E73" s="194"/>
      <c r="F73" s="194"/>
      <c r="G73" s="191"/>
      <c r="H73" s="597"/>
      <c r="I73" s="598"/>
      <c r="J73" s="598"/>
      <c r="K73" s="598"/>
      <c r="L73" s="598"/>
      <c r="M73" s="598"/>
      <c r="N73" s="598"/>
      <c r="O73" s="598"/>
      <c r="P73" s="598"/>
      <c r="Q73" s="598"/>
      <c r="R73" s="598"/>
      <c r="S73" s="598"/>
      <c r="T73" s="598"/>
      <c r="U73" s="598"/>
      <c r="V73" s="598"/>
      <c r="W73" s="598"/>
      <c r="X73" s="598"/>
      <c r="Y73" s="599"/>
    </row>
    <row r="74" spans="1:25" ht="9.9499999999999993" customHeight="1" x14ac:dyDescent="0.25">
      <c r="A74" s="551"/>
      <c r="B74" s="548"/>
      <c r="C74" s="231"/>
      <c r="D74" s="231"/>
      <c r="E74" s="231"/>
      <c r="F74" s="231"/>
      <c r="G74" s="232"/>
      <c r="H74" s="593"/>
      <c r="I74" s="594"/>
      <c r="J74" s="594"/>
      <c r="K74" s="594"/>
      <c r="L74" s="594"/>
      <c r="M74" s="594"/>
      <c r="N74" s="594"/>
      <c r="O74" s="594"/>
      <c r="P74" s="594"/>
      <c r="Q74" s="594"/>
      <c r="R74" s="594"/>
      <c r="S74" s="594"/>
      <c r="T74" s="594"/>
      <c r="U74" s="594"/>
      <c r="V74" s="594"/>
      <c r="W74" s="594"/>
      <c r="X74" s="594"/>
      <c r="Y74" s="595"/>
    </row>
    <row r="75" spans="1:25" ht="9.9499999999999993" customHeight="1" x14ac:dyDescent="0.25">
      <c r="A75" s="549">
        <f t="shared" si="8"/>
        <v>23</v>
      </c>
      <c r="B75" s="548"/>
      <c r="C75" s="229"/>
      <c r="D75" s="229"/>
      <c r="E75" s="229"/>
      <c r="F75" s="229"/>
      <c r="G75" s="230"/>
      <c r="H75" s="590"/>
      <c r="I75" s="591"/>
      <c r="J75" s="591"/>
      <c r="K75" s="591"/>
      <c r="L75" s="591"/>
      <c r="M75" s="591"/>
      <c r="N75" s="591"/>
      <c r="O75" s="591"/>
      <c r="P75" s="591"/>
      <c r="Q75" s="591"/>
      <c r="R75" s="591"/>
      <c r="S75" s="591"/>
      <c r="T75" s="591"/>
      <c r="U75" s="591"/>
      <c r="V75" s="591"/>
      <c r="W75" s="591"/>
      <c r="X75" s="591"/>
      <c r="Y75" s="592"/>
    </row>
    <row r="76" spans="1:25" ht="20.100000000000001" customHeight="1" x14ac:dyDescent="0.25">
      <c r="A76" s="550"/>
      <c r="B76" s="548"/>
      <c r="C76" s="585" t="s">
        <v>165</v>
      </c>
      <c r="D76" s="586"/>
      <c r="E76" s="194"/>
      <c r="F76" s="194"/>
      <c r="G76" s="191"/>
      <c r="H76" s="597"/>
      <c r="I76" s="598"/>
      <c r="J76" s="598"/>
      <c r="K76" s="598"/>
      <c r="L76" s="598"/>
      <c r="M76" s="598"/>
      <c r="N76" s="598"/>
      <c r="O76" s="598"/>
      <c r="P76" s="598"/>
      <c r="Q76" s="598"/>
      <c r="R76" s="598"/>
      <c r="S76" s="598"/>
      <c r="T76" s="598"/>
      <c r="U76" s="598"/>
      <c r="V76" s="598"/>
      <c r="W76" s="598"/>
      <c r="X76" s="598"/>
      <c r="Y76" s="599"/>
    </row>
    <row r="77" spans="1:25" ht="9.9499999999999993" customHeight="1" x14ac:dyDescent="0.25">
      <c r="A77" s="551"/>
      <c r="B77" s="548"/>
      <c r="C77" s="231"/>
      <c r="D77" s="231"/>
      <c r="E77" s="231"/>
      <c r="F77" s="231"/>
      <c r="G77" s="232"/>
      <c r="H77" s="593"/>
      <c r="I77" s="594"/>
      <c r="J77" s="594"/>
      <c r="K77" s="594"/>
      <c r="L77" s="594"/>
      <c r="M77" s="594"/>
      <c r="N77" s="594"/>
      <c r="O77" s="594"/>
      <c r="P77" s="594"/>
      <c r="Q77" s="594"/>
      <c r="R77" s="594"/>
      <c r="S77" s="594"/>
      <c r="T77" s="594"/>
      <c r="U77" s="594"/>
      <c r="V77" s="594"/>
      <c r="W77" s="594"/>
      <c r="X77" s="594"/>
      <c r="Y77" s="595"/>
    </row>
    <row r="78" spans="1:25" ht="9.9499999999999993" customHeight="1" x14ac:dyDescent="0.25">
      <c r="A78" s="549">
        <f t="shared" si="8"/>
        <v>24</v>
      </c>
      <c r="B78" s="548"/>
      <c r="C78" s="229"/>
      <c r="D78" s="229"/>
      <c r="E78" s="229"/>
      <c r="F78" s="229"/>
      <c r="G78" s="230"/>
      <c r="H78" s="590"/>
      <c r="I78" s="591"/>
      <c r="J78" s="591"/>
      <c r="K78" s="591"/>
      <c r="L78" s="591"/>
      <c r="M78" s="591"/>
      <c r="N78" s="591"/>
      <c r="O78" s="591"/>
      <c r="P78" s="591"/>
      <c r="Q78" s="591"/>
      <c r="R78" s="591"/>
      <c r="S78" s="591"/>
      <c r="T78" s="591"/>
      <c r="U78" s="591"/>
      <c r="V78" s="591"/>
      <c r="W78" s="591"/>
      <c r="X78" s="591"/>
      <c r="Y78" s="592"/>
    </row>
    <row r="79" spans="1:25" ht="20.100000000000001" customHeight="1" x14ac:dyDescent="0.25">
      <c r="A79" s="550"/>
      <c r="B79" s="548"/>
      <c r="C79" s="585" t="s">
        <v>165</v>
      </c>
      <c r="D79" s="586"/>
      <c r="E79" s="194"/>
      <c r="F79" s="194"/>
      <c r="G79" s="191"/>
      <c r="H79" s="597"/>
      <c r="I79" s="598"/>
      <c r="J79" s="598"/>
      <c r="K79" s="598"/>
      <c r="L79" s="598"/>
      <c r="M79" s="598"/>
      <c r="N79" s="598"/>
      <c r="O79" s="598"/>
      <c r="P79" s="598"/>
      <c r="Q79" s="598"/>
      <c r="R79" s="598"/>
      <c r="S79" s="598"/>
      <c r="T79" s="598"/>
      <c r="U79" s="598"/>
      <c r="V79" s="598"/>
      <c r="W79" s="598"/>
      <c r="X79" s="598"/>
      <c r="Y79" s="599"/>
    </row>
    <row r="80" spans="1:25" ht="9.9499999999999993" customHeight="1" x14ac:dyDescent="0.25">
      <c r="A80" s="551"/>
      <c r="B80" s="548"/>
      <c r="C80" s="231"/>
      <c r="D80" s="231"/>
      <c r="E80" s="231"/>
      <c r="F80" s="231"/>
      <c r="G80" s="232"/>
      <c r="H80" s="593"/>
      <c r="I80" s="594"/>
      <c r="J80" s="594"/>
      <c r="K80" s="594"/>
      <c r="L80" s="594"/>
      <c r="M80" s="594"/>
      <c r="N80" s="594"/>
      <c r="O80" s="594"/>
      <c r="P80" s="594"/>
      <c r="Q80" s="594"/>
      <c r="R80" s="594"/>
      <c r="S80" s="594"/>
      <c r="T80" s="594"/>
      <c r="U80" s="594"/>
      <c r="V80" s="594"/>
      <c r="W80" s="594"/>
      <c r="X80" s="594"/>
      <c r="Y80" s="595"/>
    </row>
    <row r="81" spans="1:25" ht="9.9499999999999993" customHeight="1" x14ac:dyDescent="0.25">
      <c r="A81" s="549">
        <f t="shared" si="8"/>
        <v>25</v>
      </c>
      <c r="B81" s="548"/>
      <c r="C81" s="229"/>
      <c r="D81" s="229"/>
      <c r="E81" s="229"/>
      <c r="F81" s="229"/>
      <c r="G81" s="230"/>
      <c r="H81" s="590"/>
      <c r="I81" s="591"/>
      <c r="J81" s="591"/>
      <c r="K81" s="591"/>
      <c r="L81" s="591"/>
      <c r="M81" s="591"/>
      <c r="N81" s="591"/>
      <c r="O81" s="591"/>
      <c r="P81" s="591"/>
      <c r="Q81" s="591"/>
      <c r="R81" s="591"/>
      <c r="S81" s="591"/>
      <c r="T81" s="591"/>
      <c r="U81" s="591"/>
      <c r="V81" s="591"/>
      <c r="W81" s="591"/>
      <c r="X81" s="591"/>
      <c r="Y81" s="592"/>
    </row>
    <row r="82" spans="1:25" ht="20.100000000000001" customHeight="1" x14ac:dyDescent="0.25">
      <c r="A82" s="550"/>
      <c r="B82" s="548"/>
      <c r="C82" s="585" t="s">
        <v>165</v>
      </c>
      <c r="D82" s="586"/>
      <c r="E82" s="194"/>
      <c r="F82" s="194"/>
      <c r="G82" s="191"/>
      <c r="H82" s="597"/>
      <c r="I82" s="598"/>
      <c r="J82" s="598"/>
      <c r="K82" s="598"/>
      <c r="L82" s="598"/>
      <c r="M82" s="598"/>
      <c r="N82" s="598"/>
      <c r="O82" s="598"/>
      <c r="P82" s="598"/>
      <c r="Q82" s="598"/>
      <c r="R82" s="598"/>
      <c r="S82" s="598"/>
      <c r="T82" s="598"/>
      <c r="U82" s="598"/>
      <c r="V82" s="598"/>
      <c r="W82" s="598"/>
      <c r="X82" s="598"/>
      <c r="Y82" s="599"/>
    </row>
    <row r="83" spans="1:25" ht="9.9499999999999993" customHeight="1" x14ac:dyDescent="0.25">
      <c r="A83" s="551"/>
      <c r="B83" s="548"/>
      <c r="C83" s="231"/>
      <c r="D83" s="231"/>
      <c r="E83" s="231"/>
      <c r="F83" s="231"/>
      <c r="G83" s="232"/>
      <c r="H83" s="593"/>
      <c r="I83" s="594"/>
      <c r="J83" s="594"/>
      <c r="K83" s="594"/>
      <c r="L83" s="594"/>
      <c r="M83" s="594"/>
      <c r="N83" s="594"/>
      <c r="O83" s="594"/>
      <c r="P83" s="594"/>
      <c r="Q83" s="594"/>
      <c r="R83" s="594"/>
      <c r="S83" s="594"/>
      <c r="T83" s="594"/>
      <c r="U83" s="594"/>
      <c r="V83" s="594"/>
      <c r="W83" s="594"/>
      <c r="X83" s="594"/>
      <c r="Y83" s="595"/>
    </row>
    <row r="84" spans="1:25" ht="9.9499999999999993" customHeight="1" x14ac:dyDescent="0.25">
      <c r="A84" s="549">
        <f t="shared" si="8"/>
        <v>26</v>
      </c>
      <c r="B84" s="548"/>
      <c r="C84" s="229"/>
      <c r="D84" s="229"/>
      <c r="E84" s="229"/>
      <c r="F84" s="229"/>
      <c r="G84" s="230"/>
      <c r="H84" s="590"/>
      <c r="I84" s="591"/>
      <c r="J84" s="591"/>
      <c r="K84" s="591"/>
      <c r="L84" s="591"/>
      <c r="M84" s="591"/>
      <c r="N84" s="591"/>
      <c r="O84" s="591"/>
      <c r="P84" s="591"/>
      <c r="Q84" s="591"/>
      <c r="R84" s="591"/>
      <c r="S84" s="591"/>
      <c r="T84" s="591"/>
      <c r="U84" s="591"/>
      <c r="V84" s="591"/>
      <c r="W84" s="591"/>
      <c r="X84" s="591"/>
      <c r="Y84" s="592"/>
    </row>
    <row r="85" spans="1:25" ht="20.100000000000001" customHeight="1" x14ac:dyDescent="0.25">
      <c r="A85" s="550"/>
      <c r="B85" s="548"/>
      <c r="C85" s="585" t="s">
        <v>165</v>
      </c>
      <c r="D85" s="586"/>
      <c r="E85" s="194"/>
      <c r="F85" s="194"/>
      <c r="G85" s="191"/>
      <c r="H85" s="597"/>
      <c r="I85" s="598"/>
      <c r="J85" s="598"/>
      <c r="K85" s="598"/>
      <c r="L85" s="598"/>
      <c r="M85" s="598"/>
      <c r="N85" s="598"/>
      <c r="O85" s="598"/>
      <c r="P85" s="598"/>
      <c r="Q85" s="598"/>
      <c r="R85" s="598"/>
      <c r="S85" s="598"/>
      <c r="T85" s="598"/>
      <c r="U85" s="598"/>
      <c r="V85" s="598"/>
      <c r="W85" s="598"/>
      <c r="X85" s="598"/>
      <c r="Y85" s="599"/>
    </row>
    <row r="86" spans="1:25" ht="9.9499999999999993" customHeight="1" x14ac:dyDescent="0.25">
      <c r="A86" s="551"/>
      <c r="B86" s="548"/>
      <c r="C86" s="231"/>
      <c r="D86" s="231"/>
      <c r="E86" s="231"/>
      <c r="F86" s="231"/>
      <c r="G86" s="232"/>
      <c r="H86" s="593"/>
      <c r="I86" s="594"/>
      <c r="J86" s="594"/>
      <c r="K86" s="594"/>
      <c r="L86" s="594"/>
      <c r="M86" s="594"/>
      <c r="N86" s="594"/>
      <c r="O86" s="594"/>
      <c r="P86" s="594"/>
      <c r="Q86" s="594"/>
      <c r="R86" s="594"/>
      <c r="S86" s="594"/>
      <c r="T86" s="594"/>
      <c r="U86" s="594"/>
      <c r="V86" s="594"/>
      <c r="W86" s="594"/>
      <c r="X86" s="594"/>
      <c r="Y86" s="595"/>
    </row>
    <row r="87" spans="1:25" ht="9.9499999999999993" customHeight="1" x14ac:dyDescent="0.25">
      <c r="A87" s="549">
        <f t="shared" si="8"/>
        <v>27</v>
      </c>
      <c r="B87" s="548"/>
      <c r="C87" s="229"/>
      <c r="D87" s="229"/>
      <c r="E87" s="229"/>
      <c r="F87" s="229"/>
      <c r="G87" s="230"/>
      <c r="H87" s="590"/>
      <c r="I87" s="591"/>
      <c r="J87" s="591"/>
      <c r="K87" s="591"/>
      <c r="L87" s="591"/>
      <c r="M87" s="591"/>
      <c r="N87" s="591"/>
      <c r="O87" s="591"/>
      <c r="P87" s="591"/>
      <c r="Q87" s="591"/>
      <c r="R87" s="591"/>
      <c r="S87" s="591"/>
      <c r="T87" s="591"/>
      <c r="U87" s="591"/>
      <c r="V87" s="591"/>
      <c r="W87" s="591"/>
      <c r="X87" s="591"/>
      <c r="Y87" s="592"/>
    </row>
    <row r="88" spans="1:25" ht="20.100000000000001" customHeight="1" x14ac:dyDescent="0.25">
      <c r="A88" s="550"/>
      <c r="B88" s="548"/>
      <c r="C88" s="585" t="s">
        <v>165</v>
      </c>
      <c r="D88" s="586"/>
      <c r="E88" s="194"/>
      <c r="F88" s="194"/>
      <c r="G88" s="191"/>
      <c r="H88" s="597"/>
      <c r="I88" s="598"/>
      <c r="J88" s="598"/>
      <c r="K88" s="598"/>
      <c r="L88" s="598"/>
      <c r="M88" s="598"/>
      <c r="N88" s="598"/>
      <c r="O88" s="598"/>
      <c r="P88" s="598"/>
      <c r="Q88" s="598"/>
      <c r="R88" s="598"/>
      <c r="S88" s="598"/>
      <c r="T88" s="598"/>
      <c r="U88" s="598"/>
      <c r="V88" s="598"/>
      <c r="W88" s="598"/>
      <c r="X88" s="598"/>
      <c r="Y88" s="599"/>
    </row>
    <row r="89" spans="1:25" ht="9.9499999999999993" customHeight="1" x14ac:dyDescent="0.25">
      <c r="A89" s="551"/>
      <c r="B89" s="548"/>
      <c r="C89" s="231"/>
      <c r="D89" s="231"/>
      <c r="E89" s="231"/>
      <c r="F89" s="231"/>
      <c r="G89" s="232"/>
      <c r="H89" s="593"/>
      <c r="I89" s="594"/>
      <c r="J89" s="594"/>
      <c r="K89" s="594"/>
      <c r="L89" s="594"/>
      <c r="M89" s="594"/>
      <c r="N89" s="594"/>
      <c r="O89" s="594"/>
      <c r="P89" s="594"/>
      <c r="Q89" s="594"/>
      <c r="R89" s="594"/>
      <c r="S89" s="594"/>
      <c r="T89" s="594"/>
      <c r="U89" s="594"/>
      <c r="V89" s="594"/>
      <c r="W89" s="594"/>
      <c r="X89" s="594"/>
      <c r="Y89" s="595"/>
    </row>
    <row r="90" spans="1:25" ht="9.9499999999999993" customHeight="1" x14ac:dyDescent="0.25">
      <c r="A90" s="549">
        <f t="shared" si="8"/>
        <v>28</v>
      </c>
      <c r="B90" s="548"/>
      <c r="C90" s="229"/>
      <c r="D90" s="229"/>
      <c r="E90" s="229"/>
      <c r="F90" s="229"/>
      <c r="G90" s="230"/>
      <c r="H90" s="590"/>
      <c r="I90" s="591"/>
      <c r="J90" s="591"/>
      <c r="K90" s="591"/>
      <c r="L90" s="591"/>
      <c r="M90" s="591"/>
      <c r="N90" s="591"/>
      <c r="O90" s="591"/>
      <c r="P90" s="591"/>
      <c r="Q90" s="591"/>
      <c r="R90" s="591"/>
      <c r="S90" s="591"/>
      <c r="T90" s="591"/>
      <c r="U90" s="591"/>
      <c r="V90" s="591"/>
      <c r="W90" s="591"/>
      <c r="X90" s="591"/>
      <c r="Y90" s="592"/>
    </row>
    <row r="91" spans="1:25" ht="20.100000000000001" customHeight="1" x14ac:dyDescent="0.25">
      <c r="A91" s="550"/>
      <c r="B91" s="548"/>
      <c r="C91" s="585" t="s">
        <v>165</v>
      </c>
      <c r="D91" s="586"/>
      <c r="E91" s="194"/>
      <c r="F91" s="194"/>
      <c r="G91" s="191"/>
      <c r="H91" s="597"/>
      <c r="I91" s="598"/>
      <c r="J91" s="598"/>
      <c r="K91" s="598"/>
      <c r="L91" s="598"/>
      <c r="M91" s="598"/>
      <c r="N91" s="598"/>
      <c r="O91" s="598"/>
      <c r="P91" s="598"/>
      <c r="Q91" s="598"/>
      <c r="R91" s="598"/>
      <c r="S91" s="598"/>
      <c r="T91" s="598"/>
      <c r="U91" s="598"/>
      <c r="V91" s="598"/>
      <c r="W91" s="598"/>
      <c r="X91" s="598"/>
      <c r="Y91" s="599"/>
    </row>
    <row r="92" spans="1:25" ht="9.9499999999999993" customHeight="1" x14ac:dyDescent="0.25">
      <c r="A92" s="551"/>
      <c r="B92" s="548"/>
      <c r="C92" s="231"/>
      <c r="D92" s="231"/>
      <c r="E92" s="231"/>
      <c r="F92" s="231"/>
      <c r="G92" s="232"/>
      <c r="H92" s="593"/>
      <c r="I92" s="594"/>
      <c r="J92" s="594"/>
      <c r="K92" s="594"/>
      <c r="L92" s="594"/>
      <c r="M92" s="594"/>
      <c r="N92" s="594"/>
      <c r="O92" s="594"/>
      <c r="P92" s="594"/>
      <c r="Q92" s="594"/>
      <c r="R92" s="594"/>
      <c r="S92" s="594"/>
      <c r="T92" s="594"/>
      <c r="U92" s="594"/>
      <c r="V92" s="594"/>
      <c r="W92" s="594"/>
      <c r="X92" s="594"/>
      <c r="Y92" s="595"/>
    </row>
    <row r="93" spans="1:25" ht="9.9499999999999993" customHeight="1" x14ac:dyDescent="0.25">
      <c r="A93" s="549">
        <f t="shared" si="8"/>
        <v>29</v>
      </c>
      <c r="B93" s="548"/>
      <c r="C93" s="229"/>
      <c r="D93" s="229"/>
      <c r="E93" s="229"/>
      <c r="F93" s="229"/>
      <c r="G93" s="230"/>
      <c r="H93" s="590"/>
      <c r="I93" s="591"/>
      <c r="J93" s="591"/>
      <c r="K93" s="591"/>
      <c r="L93" s="591"/>
      <c r="M93" s="591"/>
      <c r="N93" s="591"/>
      <c r="O93" s="591"/>
      <c r="P93" s="591"/>
      <c r="Q93" s="591"/>
      <c r="R93" s="591"/>
      <c r="S93" s="591"/>
      <c r="T93" s="591"/>
      <c r="U93" s="591"/>
      <c r="V93" s="591"/>
      <c r="W93" s="591"/>
      <c r="X93" s="591"/>
      <c r="Y93" s="592"/>
    </row>
    <row r="94" spans="1:25" ht="20.100000000000001" customHeight="1" x14ac:dyDescent="0.25">
      <c r="A94" s="550"/>
      <c r="B94" s="548"/>
      <c r="C94" s="585" t="s">
        <v>165</v>
      </c>
      <c r="D94" s="586"/>
      <c r="E94" s="194"/>
      <c r="F94" s="194"/>
      <c r="G94" s="191"/>
      <c r="H94" s="597"/>
      <c r="I94" s="598"/>
      <c r="J94" s="598"/>
      <c r="K94" s="598"/>
      <c r="L94" s="598"/>
      <c r="M94" s="598"/>
      <c r="N94" s="598"/>
      <c r="O94" s="598"/>
      <c r="P94" s="598"/>
      <c r="Q94" s="598"/>
      <c r="R94" s="598"/>
      <c r="S94" s="598"/>
      <c r="T94" s="598"/>
      <c r="U94" s="598"/>
      <c r="V94" s="598"/>
      <c r="W94" s="598"/>
      <c r="X94" s="598"/>
      <c r="Y94" s="599"/>
    </row>
    <row r="95" spans="1:25" ht="9.9499999999999993" customHeight="1" x14ac:dyDescent="0.25">
      <c r="A95" s="551"/>
      <c r="B95" s="548"/>
      <c r="C95" s="231"/>
      <c r="D95" s="231"/>
      <c r="E95" s="231"/>
      <c r="F95" s="231"/>
      <c r="G95" s="232"/>
      <c r="H95" s="593"/>
      <c r="I95" s="594"/>
      <c r="J95" s="594"/>
      <c r="K95" s="594"/>
      <c r="L95" s="594"/>
      <c r="M95" s="594"/>
      <c r="N95" s="594"/>
      <c r="O95" s="594"/>
      <c r="P95" s="594"/>
      <c r="Q95" s="594"/>
      <c r="R95" s="594"/>
      <c r="S95" s="594"/>
      <c r="T95" s="594"/>
      <c r="U95" s="594"/>
      <c r="V95" s="594"/>
      <c r="W95" s="594"/>
      <c r="X95" s="594"/>
      <c r="Y95" s="595"/>
    </row>
    <row r="96" spans="1:25" ht="9.9499999999999993" customHeight="1" x14ac:dyDescent="0.25">
      <c r="A96" s="549">
        <f t="shared" si="8"/>
        <v>30</v>
      </c>
      <c r="B96" s="548"/>
      <c r="C96" s="229"/>
      <c r="D96" s="229"/>
      <c r="E96" s="229"/>
      <c r="F96" s="229"/>
      <c r="G96" s="230"/>
      <c r="H96" s="590"/>
      <c r="I96" s="591"/>
      <c r="J96" s="591"/>
      <c r="K96" s="591"/>
      <c r="L96" s="591"/>
      <c r="M96" s="591"/>
      <c r="N96" s="591"/>
      <c r="O96" s="591"/>
      <c r="P96" s="591"/>
      <c r="Q96" s="591"/>
      <c r="R96" s="591"/>
      <c r="S96" s="591"/>
      <c r="T96" s="591"/>
      <c r="U96" s="591"/>
      <c r="V96" s="591"/>
      <c r="W96" s="591"/>
      <c r="X96" s="591"/>
      <c r="Y96" s="592"/>
    </row>
    <row r="97" spans="1:25" ht="20.100000000000001" customHeight="1" x14ac:dyDescent="0.25">
      <c r="A97" s="550"/>
      <c r="B97" s="548"/>
      <c r="C97" s="585" t="s">
        <v>165</v>
      </c>
      <c r="D97" s="586"/>
      <c r="E97" s="194"/>
      <c r="F97" s="194"/>
      <c r="G97" s="191"/>
      <c r="H97" s="597"/>
      <c r="I97" s="598"/>
      <c r="J97" s="598"/>
      <c r="K97" s="598"/>
      <c r="L97" s="598"/>
      <c r="M97" s="598"/>
      <c r="N97" s="598"/>
      <c r="O97" s="598"/>
      <c r="P97" s="598"/>
      <c r="Q97" s="598"/>
      <c r="R97" s="598"/>
      <c r="S97" s="598"/>
      <c r="T97" s="598"/>
      <c r="U97" s="598"/>
      <c r="V97" s="598"/>
      <c r="W97" s="598"/>
      <c r="X97" s="598"/>
      <c r="Y97" s="599"/>
    </row>
    <row r="98" spans="1:25" ht="9.9499999999999993" customHeight="1" x14ac:dyDescent="0.25">
      <c r="A98" s="551"/>
      <c r="B98" s="548"/>
      <c r="C98" s="231"/>
      <c r="D98" s="231"/>
      <c r="E98" s="231"/>
      <c r="F98" s="231"/>
      <c r="G98" s="232"/>
      <c r="H98" s="593"/>
      <c r="I98" s="594"/>
      <c r="J98" s="594"/>
      <c r="K98" s="594"/>
      <c r="L98" s="594"/>
      <c r="M98" s="594"/>
      <c r="N98" s="594"/>
      <c r="O98" s="594"/>
      <c r="P98" s="594"/>
      <c r="Q98" s="594"/>
      <c r="R98" s="594"/>
      <c r="S98" s="594"/>
      <c r="T98" s="594"/>
      <c r="U98" s="594"/>
      <c r="V98" s="594"/>
      <c r="W98" s="594"/>
      <c r="X98" s="594"/>
      <c r="Y98" s="595"/>
    </row>
    <row r="99" spans="1:25" ht="9.9499999999999993" customHeight="1" x14ac:dyDescent="0.25">
      <c r="A99" s="549">
        <f t="shared" ref="A99:A126" si="9">1+A96</f>
        <v>31</v>
      </c>
      <c r="B99" s="548"/>
      <c r="C99" s="229"/>
      <c r="D99" s="229"/>
      <c r="E99" s="229"/>
      <c r="F99" s="229"/>
      <c r="G99" s="230"/>
      <c r="H99" s="590"/>
      <c r="I99" s="591"/>
      <c r="J99" s="591"/>
      <c r="K99" s="591"/>
      <c r="L99" s="591"/>
      <c r="M99" s="591"/>
      <c r="N99" s="591"/>
      <c r="O99" s="591"/>
      <c r="P99" s="591"/>
      <c r="Q99" s="591"/>
      <c r="R99" s="591"/>
      <c r="S99" s="591"/>
      <c r="T99" s="591"/>
      <c r="U99" s="591"/>
      <c r="V99" s="591"/>
      <c r="W99" s="591"/>
      <c r="X99" s="591"/>
      <c r="Y99" s="592"/>
    </row>
    <row r="100" spans="1:25" ht="20.100000000000001" customHeight="1" x14ac:dyDescent="0.25">
      <c r="A100" s="550"/>
      <c r="B100" s="548"/>
      <c r="C100" s="585" t="s">
        <v>165</v>
      </c>
      <c r="D100" s="586"/>
      <c r="E100" s="194"/>
      <c r="F100" s="194"/>
      <c r="G100" s="191"/>
      <c r="H100" s="597"/>
      <c r="I100" s="598"/>
      <c r="J100" s="598"/>
      <c r="K100" s="598"/>
      <c r="L100" s="598"/>
      <c r="M100" s="598"/>
      <c r="N100" s="598"/>
      <c r="O100" s="598"/>
      <c r="P100" s="598"/>
      <c r="Q100" s="598"/>
      <c r="R100" s="598"/>
      <c r="S100" s="598"/>
      <c r="T100" s="598"/>
      <c r="U100" s="598"/>
      <c r="V100" s="598"/>
      <c r="W100" s="598"/>
      <c r="X100" s="598"/>
      <c r="Y100" s="599"/>
    </row>
    <row r="101" spans="1:25" ht="9.9499999999999993" customHeight="1" x14ac:dyDescent="0.25">
      <c r="A101" s="551"/>
      <c r="B101" s="548"/>
      <c r="C101" s="231"/>
      <c r="D101" s="231"/>
      <c r="E101" s="231"/>
      <c r="F101" s="231"/>
      <c r="G101" s="232"/>
      <c r="H101" s="593"/>
      <c r="I101" s="594"/>
      <c r="J101" s="594"/>
      <c r="K101" s="594"/>
      <c r="L101" s="594"/>
      <c r="M101" s="594"/>
      <c r="N101" s="594"/>
      <c r="O101" s="594"/>
      <c r="P101" s="594"/>
      <c r="Q101" s="594"/>
      <c r="R101" s="594"/>
      <c r="S101" s="594"/>
      <c r="T101" s="594"/>
      <c r="U101" s="594"/>
      <c r="V101" s="594"/>
      <c r="W101" s="594"/>
      <c r="X101" s="594"/>
      <c r="Y101" s="595"/>
    </row>
    <row r="102" spans="1:25" ht="9.9499999999999993" customHeight="1" x14ac:dyDescent="0.25">
      <c r="A102" s="549">
        <f t="shared" si="9"/>
        <v>32</v>
      </c>
      <c r="B102" s="548"/>
      <c r="C102" s="229"/>
      <c r="D102" s="229"/>
      <c r="E102" s="229"/>
      <c r="F102" s="229"/>
      <c r="G102" s="230"/>
      <c r="H102" s="590"/>
      <c r="I102" s="591"/>
      <c r="J102" s="591"/>
      <c r="K102" s="591"/>
      <c r="L102" s="591"/>
      <c r="M102" s="591"/>
      <c r="N102" s="591"/>
      <c r="O102" s="591"/>
      <c r="P102" s="591"/>
      <c r="Q102" s="591"/>
      <c r="R102" s="591"/>
      <c r="S102" s="591"/>
      <c r="T102" s="591"/>
      <c r="U102" s="591"/>
      <c r="V102" s="591"/>
      <c r="W102" s="591"/>
      <c r="X102" s="591"/>
      <c r="Y102" s="592"/>
    </row>
    <row r="103" spans="1:25" ht="20.100000000000001" customHeight="1" x14ac:dyDescent="0.25">
      <c r="A103" s="550"/>
      <c r="B103" s="548"/>
      <c r="C103" s="585" t="s">
        <v>165</v>
      </c>
      <c r="D103" s="586"/>
      <c r="E103" s="194"/>
      <c r="F103" s="194"/>
      <c r="G103" s="191"/>
      <c r="H103" s="597"/>
      <c r="I103" s="598"/>
      <c r="J103" s="598"/>
      <c r="K103" s="598"/>
      <c r="L103" s="598"/>
      <c r="M103" s="598"/>
      <c r="N103" s="598"/>
      <c r="O103" s="598"/>
      <c r="P103" s="598"/>
      <c r="Q103" s="598"/>
      <c r="R103" s="598"/>
      <c r="S103" s="598"/>
      <c r="T103" s="598"/>
      <c r="U103" s="598"/>
      <c r="V103" s="598"/>
      <c r="W103" s="598"/>
      <c r="X103" s="598"/>
      <c r="Y103" s="599"/>
    </row>
    <row r="104" spans="1:25" ht="9.9499999999999993" customHeight="1" x14ac:dyDescent="0.25">
      <c r="A104" s="551"/>
      <c r="B104" s="548"/>
      <c r="C104" s="231"/>
      <c r="D104" s="231"/>
      <c r="E104" s="231"/>
      <c r="F104" s="231"/>
      <c r="G104" s="232"/>
      <c r="H104" s="593"/>
      <c r="I104" s="594"/>
      <c r="J104" s="594"/>
      <c r="K104" s="594"/>
      <c r="L104" s="594"/>
      <c r="M104" s="594"/>
      <c r="N104" s="594"/>
      <c r="O104" s="594"/>
      <c r="P104" s="594"/>
      <c r="Q104" s="594"/>
      <c r="R104" s="594"/>
      <c r="S104" s="594"/>
      <c r="T104" s="594"/>
      <c r="U104" s="594"/>
      <c r="V104" s="594"/>
      <c r="W104" s="594"/>
      <c r="X104" s="594"/>
      <c r="Y104" s="595"/>
    </row>
    <row r="105" spans="1:25" ht="9.9499999999999993" customHeight="1" x14ac:dyDescent="0.25">
      <c r="A105" s="549">
        <f t="shared" si="9"/>
        <v>33</v>
      </c>
      <c r="B105" s="548"/>
      <c r="C105" s="229"/>
      <c r="D105" s="229"/>
      <c r="E105" s="229"/>
      <c r="F105" s="229"/>
      <c r="G105" s="230"/>
      <c r="H105" s="590"/>
      <c r="I105" s="591"/>
      <c r="J105" s="591"/>
      <c r="K105" s="591"/>
      <c r="L105" s="591"/>
      <c r="M105" s="591"/>
      <c r="N105" s="591"/>
      <c r="O105" s="591"/>
      <c r="P105" s="591"/>
      <c r="Q105" s="591"/>
      <c r="R105" s="591"/>
      <c r="S105" s="591"/>
      <c r="T105" s="591"/>
      <c r="U105" s="591"/>
      <c r="V105" s="591"/>
      <c r="W105" s="591"/>
      <c r="X105" s="591"/>
      <c r="Y105" s="592"/>
    </row>
    <row r="106" spans="1:25" ht="20.100000000000001" customHeight="1" x14ac:dyDescent="0.25">
      <c r="A106" s="550"/>
      <c r="B106" s="548"/>
      <c r="C106" s="585" t="s">
        <v>165</v>
      </c>
      <c r="D106" s="586"/>
      <c r="E106" s="194"/>
      <c r="F106" s="194"/>
      <c r="G106" s="191"/>
      <c r="H106" s="597"/>
      <c r="I106" s="598"/>
      <c r="J106" s="598"/>
      <c r="K106" s="598"/>
      <c r="L106" s="598"/>
      <c r="M106" s="598"/>
      <c r="N106" s="598"/>
      <c r="O106" s="598"/>
      <c r="P106" s="598"/>
      <c r="Q106" s="598"/>
      <c r="R106" s="598"/>
      <c r="S106" s="598"/>
      <c r="T106" s="598"/>
      <c r="U106" s="598"/>
      <c r="V106" s="598"/>
      <c r="W106" s="598"/>
      <c r="X106" s="598"/>
      <c r="Y106" s="599"/>
    </row>
    <row r="107" spans="1:25" ht="9.9499999999999993" customHeight="1" x14ac:dyDescent="0.25">
      <c r="A107" s="551"/>
      <c r="B107" s="548"/>
      <c r="C107" s="231"/>
      <c r="D107" s="231"/>
      <c r="E107" s="231"/>
      <c r="F107" s="231"/>
      <c r="G107" s="232"/>
      <c r="H107" s="593"/>
      <c r="I107" s="594"/>
      <c r="J107" s="594"/>
      <c r="K107" s="594"/>
      <c r="L107" s="594"/>
      <c r="M107" s="594"/>
      <c r="N107" s="594"/>
      <c r="O107" s="594"/>
      <c r="P107" s="594"/>
      <c r="Q107" s="594"/>
      <c r="R107" s="594"/>
      <c r="S107" s="594"/>
      <c r="T107" s="594"/>
      <c r="U107" s="594"/>
      <c r="V107" s="594"/>
      <c r="W107" s="594"/>
      <c r="X107" s="594"/>
      <c r="Y107" s="595"/>
    </row>
    <row r="108" spans="1:25" ht="9.9499999999999993" customHeight="1" x14ac:dyDescent="0.25">
      <c r="A108" s="549">
        <f t="shared" si="9"/>
        <v>34</v>
      </c>
      <c r="B108" s="548"/>
      <c r="C108" s="229"/>
      <c r="D108" s="229"/>
      <c r="E108" s="229"/>
      <c r="F108" s="229"/>
      <c r="G108" s="230"/>
      <c r="H108" s="590"/>
      <c r="I108" s="591"/>
      <c r="J108" s="591"/>
      <c r="K108" s="591"/>
      <c r="L108" s="591"/>
      <c r="M108" s="591"/>
      <c r="N108" s="591"/>
      <c r="O108" s="591"/>
      <c r="P108" s="591"/>
      <c r="Q108" s="591"/>
      <c r="R108" s="591"/>
      <c r="S108" s="591"/>
      <c r="T108" s="591"/>
      <c r="U108" s="591"/>
      <c r="V108" s="591"/>
      <c r="W108" s="591"/>
      <c r="X108" s="591"/>
      <c r="Y108" s="592"/>
    </row>
    <row r="109" spans="1:25" ht="20.100000000000001" customHeight="1" x14ac:dyDescent="0.25">
      <c r="A109" s="550"/>
      <c r="B109" s="548"/>
      <c r="C109" s="585" t="s">
        <v>165</v>
      </c>
      <c r="D109" s="586"/>
      <c r="E109" s="194"/>
      <c r="F109" s="194"/>
      <c r="G109" s="191"/>
      <c r="H109" s="597"/>
      <c r="I109" s="598"/>
      <c r="J109" s="598"/>
      <c r="K109" s="598"/>
      <c r="L109" s="598"/>
      <c r="M109" s="598"/>
      <c r="N109" s="598"/>
      <c r="O109" s="598"/>
      <c r="P109" s="598"/>
      <c r="Q109" s="598"/>
      <c r="R109" s="598"/>
      <c r="S109" s="598"/>
      <c r="T109" s="598"/>
      <c r="U109" s="598"/>
      <c r="V109" s="598"/>
      <c r="W109" s="598"/>
      <c r="X109" s="598"/>
      <c r="Y109" s="599"/>
    </row>
    <row r="110" spans="1:25" ht="9.9499999999999993" customHeight="1" x14ac:dyDescent="0.25">
      <c r="A110" s="551"/>
      <c r="B110" s="548"/>
      <c r="C110" s="231"/>
      <c r="D110" s="231"/>
      <c r="E110" s="231"/>
      <c r="F110" s="231"/>
      <c r="G110" s="232"/>
      <c r="H110" s="593"/>
      <c r="I110" s="594"/>
      <c r="J110" s="594"/>
      <c r="K110" s="594"/>
      <c r="L110" s="594"/>
      <c r="M110" s="594"/>
      <c r="N110" s="594"/>
      <c r="O110" s="594"/>
      <c r="P110" s="594"/>
      <c r="Q110" s="594"/>
      <c r="R110" s="594"/>
      <c r="S110" s="594"/>
      <c r="T110" s="594"/>
      <c r="U110" s="594"/>
      <c r="V110" s="594"/>
      <c r="W110" s="594"/>
      <c r="X110" s="594"/>
      <c r="Y110" s="595"/>
    </row>
    <row r="111" spans="1:25" ht="9.9499999999999993" customHeight="1" x14ac:dyDescent="0.25">
      <c r="A111" s="549">
        <f t="shared" si="9"/>
        <v>35</v>
      </c>
      <c r="B111" s="548"/>
      <c r="C111" s="229"/>
      <c r="D111" s="229"/>
      <c r="E111" s="229"/>
      <c r="F111" s="229"/>
      <c r="G111" s="230"/>
      <c r="H111" s="590"/>
      <c r="I111" s="591"/>
      <c r="J111" s="591"/>
      <c r="K111" s="591"/>
      <c r="L111" s="591"/>
      <c r="M111" s="591"/>
      <c r="N111" s="591"/>
      <c r="O111" s="591"/>
      <c r="P111" s="591"/>
      <c r="Q111" s="591"/>
      <c r="R111" s="591"/>
      <c r="S111" s="591"/>
      <c r="T111" s="591"/>
      <c r="U111" s="591"/>
      <c r="V111" s="591"/>
      <c r="W111" s="591"/>
      <c r="X111" s="591"/>
      <c r="Y111" s="592"/>
    </row>
    <row r="112" spans="1:25" ht="20.100000000000001" customHeight="1" x14ac:dyDescent="0.25">
      <c r="A112" s="550"/>
      <c r="B112" s="548"/>
      <c r="C112" s="585" t="s">
        <v>165</v>
      </c>
      <c r="D112" s="586"/>
      <c r="E112" s="194"/>
      <c r="F112" s="194"/>
      <c r="G112" s="191"/>
      <c r="H112" s="597"/>
      <c r="I112" s="598"/>
      <c r="J112" s="598"/>
      <c r="K112" s="598"/>
      <c r="L112" s="598"/>
      <c r="M112" s="598"/>
      <c r="N112" s="598"/>
      <c r="O112" s="598"/>
      <c r="P112" s="598"/>
      <c r="Q112" s="598"/>
      <c r="R112" s="598"/>
      <c r="S112" s="598"/>
      <c r="T112" s="598"/>
      <c r="U112" s="598"/>
      <c r="V112" s="598"/>
      <c r="W112" s="598"/>
      <c r="X112" s="598"/>
      <c r="Y112" s="599"/>
    </row>
    <row r="113" spans="1:25" ht="9.9499999999999993" customHeight="1" x14ac:dyDescent="0.25">
      <c r="A113" s="551"/>
      <c r="B113" s="548"/>
      <c r="C113" s="231"/>
      <c r="D113" s="231"/>
      <c r="E113" s="231"/>
      <c r="F113" s="231"/>
      <c r="G113" s="232"/>
      <c r="H113" s="593"/>
      <c r="I113" s="594"/>
      <c r="J113" s="594"/>
      <c r="K113" s="594"/>
      <c r="L113" s="594"/>
      <c r="M113" s="594"/>
      <c r="N113" s="594"/>
      <c r="O113" s="594"/>
      <c r="P113" s="594"/>
      <c r="Q113" s="594"/>
      <c r="R113" s="594"/>
      <c r="S113" s="594"/>
      <c r="T113" s="594"/>
      <c r="U113" s="594"/>
      <c r="V113" s="594"/>
      <c r="W113" s="594"/>
      <c r="X113" s="594"/>
      <c r="Y113" s="595"/>
    </row>
    <row r="114" spans="1:25" ht="9.9499999999999993" customHeight="1" x14ac:dyDescent="0.25">
      <c r="A114" s="549">
        <f t="shared" si="9"/>
        <v>36</v>
      </c>
      <c r="B114" s="548"/>
      <c r="C114" s="229"/>
      <c r="D114" s="229"/>
      <c r="E114" s="229"/>
      <c r="F114" s="229"/>
      <c r="G114" s="230"/>
      <c r="H114" s="590"/>
      <c r="I114" s="591"/>
      <c r="J114" s="591"/>
      <c r="K114" s="591"/>
      <c r="L114" s="591"/>
      <c r="M114" s="591"/>
      <c r="N114" s="591"/>
      <c r="O114" s="591"/>
      <c r="P114" s="591"/>
      <c r="Q114" s="591"/>
      <c r="R114" s="591"/>
      <c r="S114" s="591"/>
      <c r="T114" s="591"/>
      <c r="U114" s="591"/>
      <c r="V114" s="591"/>
      <c r="W114" s="591"/>
      <c r="X114" s="591"/>
      <c r="Y114" s="592"/>
    </row>
    <row r="115" spans="1:25" ht="20.100000000000001" customHeight="1" x14ac:dyDescent="0.25">
      <c r="A115" s="550"/>
      <c r="B115" s="548"/>
      <c r="C115" s="585" t="s">
        <v>165</v>
      </c>
      <c r="D115" s="586"/>
      <c r="E115" s="194"/>
      <c r="F115" s="194"/>
      <c r="G115" s="191"/>
      <c r="H115" s="597"/>
      <c r="I115" s="598"/>
      <c r="J115" s="598"/>
      <c r="K115" s="598"/>
      <c r="L115" s="598"/>
      <c r="M115" s="598"/>
      <c r="N115" s="598"/>
      <c r="O115" s="598"/>
      <c r="P115" s="598"/>
      <c r="Q115" s="598"/>
      <c r="R115" s="598"/>
      <c r="S115" s="598"/>
      <c r="T115" s="598"/>
      <c r="U115" s="598"/>
      <c r="V115" s="598"/>
      <c r="W115" s="598"/>
      <c r="X115" s="598"/>
      <c r="Y115" s="599"/>
    </row>
    <row r="116" spans="1:25" ht="9.9499999999999993" customHeight="1" x14ac:dyDescent="0.25">
      <c r="A116" s="551"/>
      <c r="B116" s="548"/>
      <c r="C116" s="231"/>
      <c r="D116" s="231"/>
      <c r="E116" s="231"/>
      <c r="F116" s="231"/>
      <c r="G116" s="232"/>
      <c r="H116" s="593"/>
      <c r="I116" s="594"/>
      <c r="J116" s="594"/>
      <c r="K116" s="594"/>
      <c r="L116" s="594"/>
      <c r="M116" s="594"/>
      <c r="N116" s="594"/>
      <c r="O116" s="594"/>
      <c r="P116" s="594"/>
      <c r="Q116" s="594"/>
      <c r="R116" s="594"/>
      <c r="S116" s="594"/>
      <c r="T116" s="594"/>
      <c r="U116" s="594"/>
      <c r="V116" s="594"/>
      <c r="W116" s="594"/>
      <c r="X116" s="594"/>
      <c r="Y116" s="595"/>
    </row>
    <row r="117" spans="1:25" ht="9.9499999999999993" customHeight="1" x14ac:dyDescent="0.25">
      <c r="A117" s="549">
        <f t="shared" si="9"/>
        <v>37</v>
      </c>
      <c r="B117" s="548"/>
      <c r="C117" s="229"/>
      <c r="D117" s="229"/>
      <c r="E117" s="229"/>
      <c r="F117" s="229"/>
      <c r="G117" s="230"/>
      <c r="H117" s="590"/>
      <c r="I117" s="591"/>
      <c r="J117" s="591"/>
      <c r="K117" s="591"/>
      <c r="L117" s="591"/>
      <c r="M117" s="591"/>
      <c r="N117" s="591"/>
      <c r="O117" s="591"/>
      <c r="P117" s="591"/>
      <c r="Q117" s="591"/>
      <c r="R117" s="591"/>
      <c r="S117" s="591"/>
      <c r="T117" s="591"/>
      <c r="U117" s="591"/>
      <c r="V117" s="591"/>
      <c r="W117" s="591"/>
      <c r="X117" s="591"/>
      <c r="Y117" s="592"/>
    </row>
    <row r="118" spans="1:25" ht="20.100000000000001" customHeight="1" x14ac:dyDescent="0.25">
      <c r="A118" s="550"/>
      <c r="B118" s="548"/>
      <c r="C118" s="585" t="s">
        <v>165</v>
      </c>
      <c r="D118" s="586"/>
      <c r="E118" s="194"/>
      <c r="F118" s="194"/>
      <c r="G118" s="191"/>
      <c r="H118" s="597"/>
      <c r="I118" s="598"/>
      <c r="J118" s="598"/>
      <c r="K118" s="598"/>
      <c r="L118" s="598"/>
      <c r="M118" s="598"/>
      <c r="N118" s="598"/>
      <c r="O118" s="598"/>
      <c r="P118" s="598"/>
      <c r="Q118" s="598"/>
      <c r="R118" s="598"/>
      <c r="S118" s="598"/>
      <c r="T118" s="598"/>
      <c r="U118" s="598"/>
      <c r="V118" s="598"/>
      <c r="W118" s="598"/>
      <c r="X118" s="598"/>
      <c r="Y118" s="599"/>
    </row>
    <row r="119" spans="1:25" ht="9.9499999999999993" customHeight="1" x14ac:dyDescent="0.25">
      <c r="A119" s="551"/>
      <c r="B119" s="548"/>
      <c r="C119" s="231"/>
      <c r="D119" s="231"/>
      <c r="E119" s="231"/>
      <c r="F119" s="231"/>
      <c r="G119" s="232"/>
      <c r="H119" s="593"/>
      <c r="I119" s="594"/>
      <c r="J119" s="594"/>
      <c r="K119" s="594"/>
      <c r="L119" s="594"/>
      <c r="M119" s="594"/>
      <c r="N119" s="594"/>
      <c r="O119" s="594"/>
      <c r="P119" s="594"/>
      <c r="Q119" s="594"/>
      <c r="R119" s="594"/>
      <c r="S119" s="594"/>
      <c r="T119" s="594"/>
      <c r="U119" s="594"/>
      <c r="V119" s="594"/>
      <c r="W119" s="594"/>
      <c r="X119" s="594"/>
      <c r="Y119" s="595"/>
    </row>
    <row r="120" spans="1:25" ht="9.9499999999999993" customHeight="1" x14ac:dyDescent="0.25">
      <c r="A120" s="549">
        <f t="shared" si="9"/>
        <v>38</v>
      </c>
      <c r="B120" s="548"/>
      <c r="C120" s="229"/>
      <c r="D120" s="229"/>
      <c r="E120" s="229"/>
      <c r="F120" s="229"/>
      <c r="G120" s="230"/>
      <c r="H120" s="590"/>
      <c r="I120" s="591"/>
      <c r="J120" s="591"/>
      <c r="K120" s="591"/>
      <c r="L120" s="591"/>
      <c r="M120" s="591"/>
      <c r="N120" s="591"/>
      <c r="O120" s="591"/>
      <c r="P120" s="591"/>
      <c r="Q120" s="591"/>
      <c r="R120" s="591"/>
      <c r="S120" s="591"/>
      <c r="T120" s="591"/>
      <c r="U120" s="591"/>
      <c r="V120" s="591"/>
      <c r="W120" s="591"/>
      <c r="X120" s="591"/>
      <c r="Y120" s="592"/>
    </row>
    <row r="121" spans="1:25" ht="20.100000000000001" customHeight="1" x14ac:dyDescent="0.25">
      <c r="A121" s="550"/>
      <c r="B121" s="548"/>
      <c r="C121" s="585" t="s">
        <v>165</v>
      </c>
      <c r="D121" s="586"/>
      <c r="E121" s="194"/>
      <c r="F121" s="194"/>
      <c r="G121" s="191"/>
      <c r="H121" s="597"/>
      <c r="I121" s="598"/>
      <c r="J121" s="598"/>
      <c r="K121" s="598"/>
      <c r="L121" s="598"/>
      <c r="M121" s="598"/>
      <c r="N121" s="598"/>
      <c r="O121" s="598"/>
      <c r="P121" s="598"/>
      <c r="Q121" s="598"/>
      <c r="R121" s="598"/>
      <c r="S121" s="598"/>
      <c r="T121" s="598"/>
      <c r="U121" s="598"/>
      <c r="V121" s="598"/>
      <c r="W121" s="598"/>
      <c r="X121" s="598"/>
      <c r="Y121" s="599"/>
    </row>
    <row r="122" spans="1:25" ht="9.9499999999999993" customHeight="1" x14ac:dyDescent="0.25">
      <c r="A122" s="551"/>
      <c r="B122" s="548"/>
      <c r="C122" s="231"/>
      <c r="D122" s="231"/>
      <c r="E122" s="231"/>
      <c r="F122" s="231"/>
      <c r="G122" s="232"/>
      <c r="H122" s="593"/>
      <c r="I122" s="594"/>
      <c r="J122" s="594"/>
      <c r="K122" s="594"/>
      <c r="L122" s="594"/>
      <c r="M122" s="594"/>
      <c r="N122" s="594"/>
      <c r="O122" s="594"/>
      <c r="P122" s="594"/>
      <c r="Q122" s="594"/>
      <c r="R122" s="594"/>
      <c r="S122" s="594"/>
      <c r="T122" s="594"/>
      <c r="U122" s="594"/>
      <c r="V122" s="594"/>
      <c r="W122" s="594"/>
      <c r="X122" s="594"/>
      <c r="Y122" s="595"/>
    </row>
    <row r="123" spans="1:25" ht="9.9499999999999993" customHeight="1" x14ac:dyDescent="0.25">
      <c r="A123" s="549">
        <f t="shared" si="9"/>
        <v>39</v>
      </c>
      <c r="B123" s="548"/>
      <c r="C123" s="229"/>
      <c r="D123" s="229"/>
      <c r="E123" s="229"/>
      <c r="F123" s="229"/>
      <c r="G123" s="230"/>
      <c r="H123" s="590"/>
      <c r="I123" s="591"/>
      <c r="J123" s="591"/>
      <c r="K123" s="591"/>
      <c r="L123" s="591"/>
      <c r="M123" s="591"/>
      <c r="N123" s="591"/>
      <c r="O123" s="591"/>
      <c r="P123" s="591"/>
      <c r="Q123" s="591"/>
      <c r="R123" s="591"/>
      <c r="S123" s="591"/>
      <c r="T123" s="591"/>
      <c r="U123" s="591"/>
      <c r="V123" s="591"/>
      <c r="W123" s="591"/>
      <c r="X123" s="591"/>
      <c r="Y123" s="592"/>
    </row>
    <row r="124" spans="1:25" ht="20.100000000000001" customHeight="1" x14ac:dyDescent="0.25">
      <c r="A124" s="550"/>
      <c r="B124" s="548"/>
      <c r="C124" s="585" t="s">
        <v>165</v>
      </c>
      <c r="D124" s="586"/>
      <c r="E124" s="194"/>
      <c r="F124" s="194"/>
      <c r="G124" s="191"/>
      <c r="H124" s="597"/>
      <c r="I124" s="598"/>
      <c r="J124" s="598"/>
      <c r="K124" s="598"/>
      <c r="L124" s="598"/>
      <c r="M124" s="598"/>
      <c r="N124" s="598"/>
      <c r="O124" s="598"/>
      <c r="P124" s="598"/>
      <c r="Q124" s="598"/>
      <c r="R124" s="598"/>
      <c r="S124" s="598"/>
      <c r="T124" s="598"/>
      <c r="U124" s="598"/>
      <c r="V124" s="598"/>
      <c r="W124" s="598"/>
      <c r="X124" s="598"/>
      <c r="Y124" s="599"/>
    </row>
    <row r="125" spans="1:25" ht="9.9499999999999993" customHeight="1" x14ac:dyDescent="0.25">
      <c r="A125" s="551"/>
      <c r="B125" s="548"/>
      <c r="C125" s="231"/>
      <c r="D125" s="231"/>
      <c r="E125" s="231"/>
      <c r="F125" s="231"/>
      <c r="G125" s="232"/>
      <c r="H125" s="593"/>
      <c r="I125" s="594"/>
      <c r="J125" s="594"/>
      <c r="K125" s="594"/>
      <c r="L125" s="594"/>
      <c r="M125" s="594"/>
      <c r="N125" s="594"/>
      <c r="O125" s="594"/>
      <c r="P125" s="594"/>
      <c r="Q125" s="594"/>
      <c r="R125" s="594"/>
      <c r="S125" s="594"/>
      <c r="T125" s="594"/>
      <c r="U125" s="594"/>
      <c r="V125" s="594"/>
      <c r="W125" s="594"/>
      <c r="X125" s="594"/>
      <c r="Y125" s="595"/>
    </row>
    <row r="126" spans="1:25" ht="9.9499999999999993" customHeight="1" x14ac:dyDescent="0.25">
      <c r="A126" s="549">
        <f t="shared" si="9"/>
        <v>40</v>
      </c>
      <c r="B126" s="548"/>
      <c r="C126" s="229"/>
      <c r="D126" s="229"/>
      <c r="E126" s="229"/>
      <c r="F126" s="229"/>
      <c r="G126" s="230"/>
      <c r="H126" s="590"/>
      <c r="I126" s="591"/>
      <c r="J126" s="591"/>
      <c r="K126" s="591"/>
      <c r="L126" s="591"/>
      <c r="M126" s="591"/>
      <c r="N126" s="591"/>
      <c r="O126" s="591"/>
      <c r="P126" s="591"/>
      <c r="Q126" s="591"/>
      <c r="R126" s="591"/>
      <c r="S126" s="591"/>
      <c r="T126" s="591"/>
      <c r="U126" s="591"/>
      <c r="V126" s="591"/>
      <c r="W126" s="591"/>
      <c r="X126" s="591"/>
      <c r="Y126" s="592"/>
    </row>
    <row r="127" spans="1:25" ht="20.100000000000001" customHeight="1" x14ac:dyDescent="0.25">
      <c r="A127" s="550"/>
      <c r="B127" s="548"/>
      <c r="C127" s="585" t="s">
        <v>165</v>
      </c>
      <c r="D127" s="586"/>
      <c r="E127" s="194"/>
      <c r="F127" s="194"/>
      <c r="G127" s="191"/>
      <c r="H127" s="597"/>
      <c r="I127" s="598"/>
      <c r="J127" s="598"/>
      <c r="K127" s="598"/>
      <c r="L127" s="598"/>
      <c r="M127" s="598"/>
      <c r="N127" s="598"/>
      <c r="O127" s="598"/>
      <c r="P127" s="598"/>
      <c r="Q127" s="598"/>
      <c r="R127" s="598"/>
      <c r="S127" s="598"/>
      <c r="T127" s="598"/>
      <c r="U127" s="598"/>
      <c r="V127" s="598"/>
      <c r="W127" s="598"/>
      <c r="X127" s="598"/>
      <c r="Y127" s="599"/>
    </row>
    <row r="128" spans="1:25" ht="9.9499999999999993" customHeight="1" x14ac:dyDescent="0.25">
      <c r="A128" s="551"/>
      <c r="B128" s="548"/>
      <c r="C128" s="231"/>
      <c r="D128" s="231"/>
      <c r="E128" s="231"/>
      <c r="F128" s="231"/>
      <c r="G128" s="232"/>
      <c r="H128" s="593"/>
      <c r="I128" s="594"/>
      <c r="J128" s="594"/>
      <c r="K128" s="594"/>
      <c r="L128" s="594"/>
      <c r="M128" s="594"/>
      <c r="N128" s="594"/>
      <c r="O128" s="594"/>
      <c r="P128" s="594"/>
      <c r="Q128" s="594"/>
      <c r="R128" s="594"/>
      <c r="S128" s="594"/>
      <c r="T128" s="594"/>
      <c r="U128" s="594"/>
      <c r="V128" s="594"/>
      <c r="W128" s="594"/>
      <c r="X128" s="594"/>
      <c r="Y128" s="595"/>
    </row>
  </sheetData>
  <mergeCells count="182">
    <mergeCell ref="A123:A125"/>
    <mergeCell ref="B123:B125"/>
    <mergeCell ref="H123:Y125"/>
    <mergeCell ref="C124:D124"/>
    <mergeCell ref="A126:A128"/>
    <mergeCell ref="B126:B128"/>
    <mergeCell ref="H126:Y128"/>
    <mergeCell ref="C127:D127"/>
    <mergeCell ref="A117:A119"/>
    <mergeCell ref="B117:B119"/>
    <mergeCell ref="H117:Y119"/>
    <mergeCell ref="C118:D118"/>
    <mergeCell ref="A120:A122"/>
    <mergeCell ref="B120:B122"/>
    <mergeCell ref="H120:Y122"/>
    <mergeCell ref="C121:D121"/>
    <mergeCell ref="A111:A113"/>
    <mergeCell ref="B111:B113"/>
    <mergeCell ref="H111:Y113"/>
    <mergeCell ref="C112:D112"/>
    <mergeCell ref="A114:A116"/>
    <mergeCell ref="B114:B116"/>
    <mergeCell ref="H114:Y116"/>
    <mergeCell ref="C115:D115"/>
    <mergeCell ref="A105:A107"/>
    <mergeCell ref="B105:B107"/>
    <mergeCell ref="H105:Y107"/>
    <mergeCell ref="C106:D106"/>
    <mergeCell ref="A108:A110"/>
    <mergeCell ref="B108:B110"/>
    <mergeCell ref="H108:Y110"/>
    <mergeCell ref="C109:D109"/>
    <mergeCell ref="A99:A101"/>
    <mergeCell ref="B99:B101"/>
    <mergeCell ref="H99:Y101"/>
    <mergeCell ref="C100:D100"/>
    <mergeCell ref="A102:A104"/>
    <mergeCell ref="B102:B104"/>
    <mergeCell ref="H102:Y104"/>
    <mergeCell ref="C103:D103"/>
    <mergeCell ref="A93:A95"/>
    <mergeCell ref="B93:B95"/>
    <mergeCell ref="H93:Y95"/>
    <mergeCell ref="C94:D94"/>
    <mergeCell ref="A96:A98"/>
    <mergeCell ref="B96:B98"/>
    <mergeCell ref="H96:Y98"/>
    <mergeCell ref="C97:D97"/>
    <mergeCell ref="A87:A89"/>
    <mergeCell ref="B87:B89"/>
    <mergeCell ref="H87:Y89"/>
    <mergeCell ref="C88:D88"/>
    <mergeCell ref="A90:A92"/>
    <mergeCell ref="B90:B92"/>
    <mergeCell ref="H90:Y92"/>
    <mergeCell ref="C91:D91"/>
    <mergeCell ref="A81:A83"/>
    <mergeCell ref="B81:B83"/>
    <mergeCell ref="H81:Y83"/>
    <mergeCell ref="C82:D82"/>
    <mergeCell ref="A84:A86"/>
    <mergeCell ref="B84:B86"/>
    <mergeCell ref="H84:Y86"/>
    <mergeCell ref="C85:D85"/>
    <mergeCell ref="A75:A77"/>
    <mergeCell ref="B75:B77"/>
    <mergeCell ref="H75:Y77"/>
    <mergeCell ref="C76:D76"/>
    <mergeCell ref="A78:A80"/>
    <mergeCell ref="B78:B80"/>
    <mergeCell ref="H78:Y80"/>
    <mergeCell ref="C79:D79"/>
    <mergeCell ref="A69:A71"/>
    <mergeCell ref="B69:B71"/>
    <mergeCell ref="H69:Y71"/>
    <mergeCell ref="C70:D70"/>
    <mergeCell ref="A72:A74"/>
    <mergeCell ref="B72:B74"/>
    <mergeCell ref="H72:Y74"/>
    <mergeCell ref="C73:D73"/>
    <mergeCell ref="A63:A65"/>
    <mergeCell ref="B63:B65"/>
    <mergeCell ref="H63:Y65"/>
    <mergeCell ref="C64:D64"/>
    <mergeCell ref="A66:A68"/>
    <mergeCell ref="B66:B68"/>
    <mergeCell ref="H66:Y68"/>
    <mergeCell ref="C67:D67"/>
    <mergeCell ref="A57:A59"/>
    <mergeCell ref="B57:B59"/>
    <mergeCell ref="H57:Y59"/>
    <mergeCell ref="C58:D58"/>
    <mergeCell ref="A60:A62"/>
    <mergeCell ref="B60:B62"/>
    <mergeCell ref="H60:Y62"/>
    <mergeCell ref="C61:D61"/>
    <mergeCell ref="A51:A53"/>
    <mergeCell ref="B51:B53"/>
    <mergeCell ref="H51:Y53"/>
    <mergeCell ref="C52:D52"/>
    <mergeCell ref="A54:A56"/>
    <mergeCell ref="B54:B56"/>
    <mergeCell ref="H54:Y56"/>
    <mergeCell ref="C55:D55"/>
    <mergeCell ref="A45:A47"/>
    <mergeCell ref="B45:B47"/>
    <mergeCell ref="H45:Y47"/>
    <mergeCell ref="C46:D46"/>
    <mergeCell ref="A48:A50"/>
    <mergeCell ref="B48:B50"/>
    <mergeCell ref="H48:Y50"/>
    <mergeCell ref="C49:D49"/>
    <mergeCell ref="A39:A41"/>
    <mergeCell ref="B39:B41"/>
    <mergeCell ref="H39:Y41"/>
    <mergeCell ref="C40:D40"/>
    <mergeCell ref="A42:A44"/>
    <mergeCell ref="B42:B44"/>
    <mergeCell ref="H42:Y44"/>
    <mergeCell ref="C43:D43"/>
    <mergeCell ref="A33:A35"/>
    <mergeCell ref="B33:B35"/>
    <mergeCell ref="H33:Y35"/>
    <mergeCell ref="C34:D34"/>
    <mergeCell ref="A36:A38"/>
    <mergeCell ref="B36:B38"/>
    <mergeCell ref="H36:Y38"/>
    <mergeCell ref="C37:D37"/>
    <mergeCell ref="A27:A29"/>
    <mergeCell ref="B27:B29"/>
    <mergeCell ref="H27:Y29"/>
    <mergeCell ref="C28:D28"/>
    <mergeCell ref="A30:A32"/>
    <mergeCell ref="B30:B32"/>
    <mergeCell ref="H30:Y32"/>
    <mergeCell ref="C31:D31"/>
    <mergeCell ref="A21:A23"/>
    <mergeCell ref="B21:B23"/>
    <mergeCell ref="H21:Y23"/>
    <mergeCell ref="C22:D22"/>
    <mergeCell ref="A24:A26"/>
    <mergeCell ref="B24:B26"/>
    <mergeCell ref="H24:Y26"/>
    <mergeCell ref="C25:D25"/>
    <mergeCell ref="A15:A17"/>
    <mergeCell ref="B15:B17"/>
    <mergeCell ref="H15:Y17"/>
    <mergeCell ref="C16:D16"/>
    <mergeCell ref="A18:A20"/>
    <mergeCell ref="B18:B20"/>
    <mergeCell ref="H18:Y20"/>
    <mergeCell ref="C19:D19"/>
    <mergeCell ref="A9:A11"/>
    <mergeCell ref="B9:B11"/>
    <mergeCell ref="H9:Y11"/>
    <mergeCell ref="C10:D10"/>
    <mergeCell ref="A12:A14"/>
    <mergeCell ref="B12:B14"/>
    <mergeCell ref="H12:Y14"/>
    <mergeCell ref="C13:D13"/>
    <mergeCell ref="W5:Y5"/>
    <mergeCell ref="A7:A8"/>
    <mergeCell ref="B7:B8"/>
    <mergeCell ref="C7:G7"/>
    <mergeCell ref="H7:Y8"/>
    <mergeCell ref="C8:G8"/>
    <mergeCell ref="A5:B5"/>
    <mergeCell ref="C5:K5"/>
    <mergeCell ref="M5:P5"/>
    <mergeCell ref="Q5:R5"/>
    <mergeCell ref="S5:T5"/>
    <mergeCell ref="U5:V5"/>
    <mergeCell ref="A1:O1"/>
    <mergeCell ref="Q1:Y2"/>
    <mergeCell ref="A2:O2"/>
    <mergeCell ref="A4:B4"/>
    <mergeCell ref="C4:K4"/>
    <mergeCell ref="M4:P4"/>
    <mergeCell ref="Q4:R4"/>
    <mergeCell ref="S4:T4"/>
    <mergeCell ref="U4:V4"/>
    <mergeCell ref="W4:Y4"/>
  </mergeCells>
  <pageMargins left="0.39370078740157483" right="0.39370078740157483" top="0.39370078740157483" bottom="0.78740157480314965" header="0" footer="0.39370078740157483"/>
  <pageSetup paperSize="9" orientation="landscape" horizontalDpi="300" r:id="rId1"/>
  <headerFooter>
    <oddFooter>Страница  &amp;P из &amp;N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28"/>
  <sheetViews>
    <sheetView view="pageBreakPreview" zoomScaleSheetLayoutView="100" workbookViewId="0">
      <selection sqref="A1:O1"/>
    </sheetView>
  </sheetViews>
  <sheetFormatPr defaultColWidth="9.140625" defaultRowHeight="15" x14ac:dyDescent="0.25"/>
  <cols>
    <col min="1" max="1" width="5.7109375" style="14" customWidth="1"/>
    <col min="2" max="2" width="10.7109375" style="14" customWidth="1"/>
    <col min="3" max="3" width="15.7109375" style="14" customWidth="1"/>
    <col min="4" max="4" width="0.85546875" style="14" customWidth="1"/>
    <col min="5" max="6" width="3.28515625" style="14" customWidth="1"/>
    <col min="7" max="7" width="0.85546875" style="14" customWidth="1"/>
    <col min="8" max="8" width="15.7109375" style="14" customWidth="1"/>
    <col min="9" max="9" width="0.85546875" style="14" customWidth="1"/>
    <col min="10" max="11" width="3.28515625" style="14" customWidth="1"/>
    <col min="12" max="12" width="0.85546875" style="14" customWidth="1"/>
    <col min="13" max="25" width="5.7109375" style="14" customWidth="1"/>
    <col min="26" max="16384" width="9.140625" style="14"/>
  </cols>
  <sheetData>
    <row r="1" spans="1:28" ht="21" customHeight="1" x14ac:dyDescent="0.25">
      <c r="A1" s="566" t="str">
        <f>НазваниеПолное</f>
        <v>Ралли "Skoda Rally Weekend - 2017"</v>
      </c>
      <c r="B1" s="567"/>
      <c r="C1" s="567"/>
      <c r="D1" s="567"/>
      <c r="E1" s="567"/>
      <c r="F1" s="567"/>
      <c r="G1" s="567"/>
      <c r="H1" s="567"/>
      <c r="I1" s="567"/>
      <c r="J1" s="567"/>
      <c r="K1" s="567"/>
      <c r="L1" s="567"/>
      <c r="M1" s="567"/>
      <c r="N1" s="567"/>
      <c r="O1" s="568"/>
      <c r="P1" s="193"/>
      <c r="Q1" s="569" t="str">
        <f ca="1">INDIRECT(ADDRESS($AB$1,1,,,"Общее"))</f>
        <v>КВ-2 Окружная</v>
      </c>
      <c r="R1" s="569"/>
      <c r="S1" s="569"/>
      <c r="T1" s="569"/>
      <c r="U1" s="569"/>
      <c r="V1" s="569"/>
      <c r="W1" s="569"/>
      <c r="X1" s="569"/>
      <c r="Y1" s="569"/>
      <c r="AA1" s="14" t="s">
        <v>153</v>
      </c>
      <c r="AB1" s="14">
        <v>19</v>
      </c>
    </row>
    <row r="2" spans="1:28" ht="21" customHeight="1" x14ac:dyDescent="0.25">
      <c r="A2" s="570" t="s">
        <v>11</v>
      </c>
      <c r="B2" s="571"/>
      <c r="C2" s="571"/>
      <c r="D2" s="571"/>
      <c r="E2" s="571"/>
      <c r="F2" s="571"/>
      <c r="G2" s="571"/>
      <c r="H2" s="571"/>
      <c r="I2" s="571"/>
      <c r="J2" s="571"/>
      <c r="K2" s="571"/>
      <c r="L2" s="571"/>
      <c r="M2" s="571"/>
      <c r="N2" s="571"/>
      <c r="O2" s="572"/>
      <c r="P2" s="192"/>
      <c r="Q2" s="569"/>
      <c r="R2" s="569"/>
      <c r="S2" s="569"/>
      <c r="T2" s="569"/>
      <c r="U2" s="569"/>
      <c r="V2" s="569"/>
      <c r="W2" s="569"/>
      <c r="X2" s="569"/>
      <c r="Y2" s="569"/>
    </row>
    <row r="3" spans="1:28" ht="2.1" customHeight="1" x14ac:dyDescent="0.25">
      <c r="A3" s="18"/>
      <c r="B3" s="18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2"/>
      <c r="N3" s="182"/>
      <c r="O3" s="182"/>
      <c r="P3" s="182"/>
    </row>
    <row r="4" spans="1:28" ht="20.100000000000001" customHeight="1" x14ac:dyDescent="0.25">
      <c r="A4" s="548" t="s">
        <v>12</v>
      </c>
      <c r="B4" s="548"/>
      <c r="C4" s="573" t="str">
        <f ca="1">INDIRECT(ADDRESS($AB$1,12,,,"Общее"))</f>
        <v>Филоненко</v>
      </c>
      <c r="D4" s="573"/>
      <c r="E4" s="573"/>
      <c r="F4" s="573"/>
      <c r="G4" s="573"/>
      <c r="H4" s="573"/>
      <c r="I4" s="573"/>
      <c r="J4" s="573"/>
      <c r="K4" s="573"/>
      <c r="M4" s="548" t="s">
        <v>268</v>
      </c>
      <c r="N4" s="548"/>
      <c r="O4" s="548"/>
      <c r="P4" s="548"/>
      <c r="Q4" s="548" t="s">
        <v>136</v>
      </c>
      <c r="R4" s="548"/>
      <c r="S4" s="554">
        <f ca="1">INDIRECT(ADDRESS($AB$1,9,,,"Общее"))</f>
        <v>0.54930650243917223</v>
      </c>
      <c r="T4" s="554"/>
      <c r="U4" s="548" t="s">
        <v>135</v>
      </c>
      <c r="V4" s="548"/>
      <c r="W4" s="552" t="s">
        <v>164</v>
      </c>
      <c r="X4" s="552"/>
      <c r="Y4" s="552"/>
    </row>
    <row r="5" spans="1:28" ht="20.100000000000001" customHeight="1" x14ac:dyDescent="0.25">
      <c r="A5" s="548" t="s">
        <v>13</v>
      </c>
      <c r="B5" s="548"/>
      <c r="C5" s="548"/>
      <c r="D5" s="548"/>
      <c r="E5" s="548"/>
      <c r="F5" s="548"/>
      <c r="G5" s="548"/>
      <c r="H5" s="548"/>
      <c r="I5" s="548"/>
      <c r="J5" s="548"/>
      <c r="K5" s="548"/>
      <c r="M5" s="548" t="s">
        <v>269</v>
      </c>
      <c r="N5" s="548"/>
      <c r="O5" s="548"/>
      <c r="P5" s="548"/>
      <c r="Q5" s="548" t="s">
        <v>136</v>
      </c>
      <c r="R5" s="548"/>
      <c r="S5" s="554">
        <f ca="1">INDIRECT(ADDRESS($AB$1,11,,,"Общее"))</f>
        <v>0.6048620579947277</v>
      </c>
      <c r="T5" s="554"/>
      <c r="U5" s="548" t="s">
        <v>135</v>
      </c>
      <c r="V5" s="548"/>
      <c r="W5" s="552" t="s">
        <v>164</v>
      </c>
      <c r="X5" s="552"/>
      <c r="Y5" s="552"/>
    </row>
    <row r="6" spans="1:28" ht="2.1" customHeight="1" x14ac:dyDescent="0.25">
      <c r="A6" s="180"/>
      <c r="B6" s="180"/>
      <c r="C6" s="60"/>
      <c r="D6" s="60"/>
      <c r="E6" s="180"/>
      <c r="F6" s="180"/>
      <c r="G6" s="180"/>
      <c r="H6" s="60"/>
      <c r="I6" s="60"/>
      <c r="J6" s="180"/>
      <c r="K6" s="180"/>
      <c r="L6" s="180"/>
      <c r="M6" s="226"/>
      <c r="N6" s="226"/>
      <c r="O6" s="226"/>
      <c r="P6" s="226"/>
    </row>
    <row r="7" spans="1:28" ht="20.100000000000001" customHeight="1" x14ac:dyDescent="0.25">
      <c r="A7" s="553"/>
      <c r="B7" s="548" t="s">
        <v>0</v>
      </c>
      <c r="C7" s="587" t="s">
        <v>198</v>
      </c>
      <c r="D7" s="588"/>
      <c r="E7" s="588"/>
      <c r="F7" s="588"/>
      <c r="G7" s="589"/>
      <c r="H7" s="590" t="s">
        <v>80</v>
      </c>
      <c r="I7" s="591"/>
      <c r="J7" s="591"/>
      <c r="K7" s="591"/>
      <c r="L7" s="591"/>
      <c r="M7" s="591"/>
      <c r="N7" s="591"/>
      <c r="O7" s="591"/>
      <c r="P7" s="591"/>
      <c r="Q7" s="591"/>
      <c r="R7" s="591"/>
      <c r="S7" s="591"/>
      <c r="T7" s="591"/>
      <c r="U7" s="591"/>
      <c r="V7" s="591"/>
      <c r="W7" s="591"/>
      <c r="X7" s="591"/>
      <c r="Y7" s="592"/>
      <c r="AA7" s="14" t="s">
        <v>276</v>
      </c>
    </row>
    <row r="8" spans="1:28" ht="20.100000000000001" customHeight="1" x14ac:dyDescent="0.25">
      <c r="A8" s="553"/>
      <c r="B8" s="548"/>
      <c r="C8" s="587" t="s">
        <v>270</v>
      </c>
      <c r="D8" s="588"/>
      <c r="E8" s="588"/>
      <c r="F8" s="588"/>
      <c r="G8" s="589"/>
      <c r="H8" s="593"/>
      <c r="I8" s="594"/>
      <c r="J8" s="594"/>
      <c r="K8" s="594"/>
      <c r="L8" s="594"/>
      <c r="M8" s="594"/>
      <c r="N8" s="594"/>
      <c r="O8" s="594"/>
      <c r="P8" s="594"/>
      <c r="Q8" s="594"/>
      <c r="R8" s="594"/>
      <c r="S8" s="594"/>
      <c r="T8" s="594"/>
      <c r="U8" s="594"/>
      <c r="V8" s="594"/>
      <c r="W8" s="594"/>
      <c r="X8" s="594"/>
      <c r="Y8" s="595"/>
      <c r="AA8" s="14" t="s">
        <v>274</v>
      </c>
    </row>
    <row r="9" spans="1:28" ht="9.9499999999999993" customHeight="1" x14ac:dyDescent="0.25">
      <c r="A9" s="549">
        <v>1</v>
      </c>
      <c r="B9" s="548"/>
      <c r="C9" s="229"/>
      <c r="D9" s="229"/>
      <c r="E9" s="229"/>
      <c r="F9" s="229"/>
      <c r="G9" s="230"/>
      <c r="H9" s="590"/>
      <c r="I9" s="591"/>
      <c r="J9" s="591"/>
      <c r="K9" s="591"/>
      <c r="L9" s="591"/>
      <c r="M9" s="591"/>
      <c r="N9" s="591"/>
      <c r="O9" s="591"/>
      <c r="P9" s="591"/>
      <c r="Q9" s="591"/>
      <c r="R9" s="591"/>
      <c r="S9" s="591"/>
      <c r="T9" s="591"/>
      <c r="U9" s="591"/>
      <c r="V9" s="591"/>
      <c r="W9" s="591"/>
      <c r="X9" s="591"/>
      <c r="Y9" s="592"/>
      <c r="AA9" s="14" t="s">
        <v>275</v>
      </c>
    </row>
    <row r="10" spans="1:28" s="27" customFormat="1" ht="20.100000000000001" customHeight="1" x14ac:dyDescent="0.25">
      <c r="A10" s="550"/>
      <c r="B10" s="548"/>
      <c r="C10" s="585" t="s">
        <v>165</v>
      </c>
      <c r="D10" s="586"/>
      <c r="E10" s="195"/>
      <c r="F10" s="195"/>
      <c r="G10" s="191"/>
      <c r="H10" s="597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  <c r="U10" s="598"/>
      <c r="V10" s="598"/>
      <c r="W10" s="598"/>
      <c r="X10" s="598"/>
      <c r="Y10" s="599"/>
    </row>
    <row r="11" spans="1:28" ht="9.9499999999999993" customHeight="1" x14ac:dyDescent="0.25">
      <c r="A11" s="551"/>
      <c r="B11" s="548"/>
      <c r="C11" s="231"/>
      <c r="D11" s="231"/>
      <c r="E11" s="231"/>
      <c r="F11" s="231"/>
      <c r="G11" s="232"/>
      <c r="H11" s="593"/>
      <c r="I11" s="594"/>
      <c r="J11" s="594"/>
      <c r="K11" s="594"/>
      <c r="L11" s="594"/>
      <c r="M11" s="594"/>
      <c r="N11" s="594"/>
      <c r="O11" s="594"/>
      <c r="P11" s="594"/>
      <c r="Q11" s="594"/>
      <c r="R11" s="594"/>
      <c r="S11" s="594"/>
      <c r="T11" s="594"/>
      <c r="U11" s="594"/>
      <c r="V11" s="594"/>
      <c r="W11" s="594"/>
      <c r="X11" s="594"/>
      <c r="Y11" s="595"/>
    </row>
    <row r="12" spans="1:28" ht="9.9499999999999993" customHeight="1" x14ac:dyDescent="0.25">
      <c r="A12" s="549">
        <f>1+A9</f>
        <v>2</v>
      </c>
      <c r="B12" s="548"/>
      <c r="C12" s="229"/>
      <c r="D12" s="229"/>
      <c r="E12" s="229"/>
      <c r="F12" s="229"/>
      <c r="G12" s="230"/>
      <c r="H12" s="590"/>
      <c r="I12" s="591"/>
      <c r="J12" s="591"/>
      <c r="K12" s="591"/>
      <c r="L12" s="591"/>
      <c r="M12" s="591"/>
      <c r="N12" s="591"/>
      <c r="O12" s="591"/>
      <c r="P12" s="591"/>
      <c r="Q12" s="591"/>
      <c r="R12" s="591"/>
      <c r="S12" s="591"/>
      <c r="T12" s="591"/>
      <c r="U12" s="591"/>
      <c r="V12" s="591"/>
      <c r="W12" s="591"/>
      <c r="X12" s="591"/>
      <c r="Y12" s="592"/>
    </row>
    <row r="13" spans="1:28" s="27" customFormat="1" ht="20.100000000000001" customHeight="1" x14ac:dyDescent="0.25">
      <c r="A13" s="550"/>
      <c r="B13" s="548"/>
      <c r="C13" s="585" t="s">
        <v>165</v>
      </c>
      <c r="D13" s="586"/>
      <c r="E13" s="195"/>
      <c r="F13" s="195"/>
      <c r="G13" s="191"/>
      <c r="H13" s="597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  <c r="U13" s="598"/>
      <c r="V13" s="598"/>
      <c r="W13" s="598"/>
      <c r="X13" s="598"/>
      <c r="Y13" s="599"/>
    </row>
    <row r="14" spans="1:28" ht="9.9499999999999993" customHeight="1" x14ac:dyDescent="0.25">
      <c r="A14" s="551"/>
      <c r="B14" s="548"/>
      <c r="C14" s="231"/>
      <c r="D14" s="231"/>
      <c r="E14" s="231"/>
      <c r="F14" s="231"/>
      <c r="G14" s="232"/>
      <c r="H14" s="593"/>
      <c r="I14" s="594"/>
      <c r="J14" s="594"/>
      <c r="K14" s="594"/>
      <c r="L14" s="594"/>
      <c r="M14" s="594"/>
      <c r="N14" s="594"/>
      <c r="O14" s="594"/>
      <c r="P14" s="594"/>
      <c r="Q14" s="594"/>
      <c r="R14" s="594"/>
      <c r="S14" s="594"/>
      <c r="T14" s="594"/>
      <c r="U14" s="594"/>
      <c r="V14" s="594"/>
      <c r="W14" s="594"/>
      <c r="X14" s="594"/>
      <c r="Y14" s="595"/>
    </row>
    <row r="15" spans="1:28" ht="9.9499999999999993" customHeight="1" x14ac:dyDescent="0.25">
      <c r="A15" s="549">
        <f>1+A12</f>
        <v>3</v>
      </c>
      <c r="B15" s="548"/>
      <c r="C15" s="229"/>
      <c r="D15" s="229"/>
      <c r="E15" s="229"/>
      <c r="F15" s="229"/>
      <c r="G15" s="230"/>
      <c r="H15" s="590"/>
      <c r="I15" s="591"/>
      <c r="J15" s="591"/>
      <c r="K15" s="591"/>
      <c r="L15" s="591"/>
      <c r="M15" s="591"/>
      <c r="N15" s="591"/>
      <c r="O15" s="591"/>
      <c r="P15" s="591"/>
      <c r="Q15" s="591"/>
      <c r="R15" s="591"/>
      <c r="S15" s="591"/>
      <c r="T15" s="591"/>
      <c r="U15" s="591"/>
      <c r="V15" s="591"/>
      <c r="W15" s="591"/>
      <c r="X15" s="591"/>
      <c r="Y15" s="592"/>
    </row>
    <row r="16" spans="1:28" s="27" customFormat="1" ht="20.100000000000001" customHeight="1" x14ac:dyDescent="0.25">
      <c r="A16" s="550"/>
      <c r="B16" s="548"/>
      <c r="C16" s="585" t="s">
        <v>165</v>
      </c>
      <c r="D16" s="586"/>
      <c r="E16" s="195"/>
      <c r="F16" s="195"/>
      <c r="G16" s="191"/>
      <c r="H16" s="597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  <c r="U16" s="598"/>
      <c r="V16" s="598"/>
      <c r="W16" s="598"/>
      <c r="X16" s="598"/>
      <c r="Y16" s="599"/>
    </row>
    <row r="17" spans="1:25" ht="9.9499999999999993" customHeight="1" x14ac:dyDescent="0.25">
      <c r="A17" s="551"/>
      <c r="B17" s="548"/>
      <c r="C17" s="231"/>
      <c r="D17" s="231"/>
      <c r="E17" s="231"/>
      <c r="F17" s="231"/>
      <c r="G17" s="232"/>
      <c r="H17" s="593"/>
      <c r="I17" s="594"/>
      <c r="J17" s="594"/>
      <c r="K17" s="594"/>
      <c r="L17" s="594"/>
      <c r="M17" s="594"/>
      <c r="N17" s="594"/>
      <c r="O17" s="594"/>
      <c r="P17" s="594"/>
      <c r="Q17" s="594"/>
      <c r="R17" s="594"/>
      <c r="S17" s="594"/>
      <c r="T17" s="594"/>
      <c r="U17" s="594"/>
      <c r="V17" s="594"/>
      <c r="W17" s="594"/>
      <c r="X17" s="594"/>
      <c r="Y17" s="595"/>
    </row>
    <row r="18" spans="1:25" ht="9.9499999999999993" customHeight="1" x14ac:dyDescent="0.25">
      <c r="A18" s="549">
        <f t="shared" ref="A18" si="0">1+A15</f>
        <v>4</v>
      </c>
      <c r="B18" s="548"/>
      <c r="C18" s="229"/>
      <c r="D18" s="229"/>
      <c r="E18" s="229"/>
      <c r="F18" s="229"/>
      <c r="G18" s="230"/>
      <c r="H18" s="590"/>
      <c r="I18" s="591"/>
      <c r="J18" s="591"/>
      <c r="K18" s="591"/>
      <c r="L18" s="591"/>
      <c r="M18" s="591"/>
      <c r="N18" s="591"/>
      <c r="O18" s="591"/>
      <c r="P18" s="591"/>
      <c r="Q18" s="591"/>
      <c r="R18" s="591"/>
      <c r="S18" s="591"/>
      <c r="T18" s="591"/>
      <c r="U18" s="591"/>
      <c r="V18" s="591"/>
      <c r="W18" s="591"/>
      <c r="X18" s="591"/>
      <c r="Y18" s="592"/>
    </row>
    <row r="19" spans="1:25" s="27" customFormat="1" ht="20.100000000000001" customHeight="1" x14ac:dyDescent="0.25">
      <c r="A19" s="550"/>
      <c r="B19" s="548"/>
      <c r="C19" s="585" t="s">
        <v>165</v>
      </c>
      <c r="D19" s="586"/>
      <c r="E19" s="195"/>
      <c r="F19" s="195"/>
      <c r="G19" s="191"/>
      <c r="H19" s="597"/>
      <c r="I19" s="598"/>
      <c r="J19" s="598"/>
      <c r="K19" s="598"/>
      <c r="L19" s="598"/>
      <c r="M19" s="598"/>
      <c r="N19" s="598"/>
      <c r="O19" s="598"/>
      <c r="P19" s="598"/>
      <c r="Q19" s="598"/>
      <c r="R19" s="598"/>
      <c r="S19" s="598"/>
      <c r="T19" s="598"/>
      <c r="U19" s="598"/>
      <c r="V19" s="598"/>
      <c r="W19" s="598"/>
      <c r="X19" s="598"/>
      <c r="Y19" s="599"/>
    </row>
    <row r="20" spans="1:25" ht="9.9499999999999993" customHeight="1" x14ac:dyDescent="0.25">
      <c r="A20" s="551"/>
      <c r="B20" s="548"/>
      <c r="C20" s="231"/>
      <c r="D20" s="231"/>
      <c r="E20" s="231"/>
      <c r="F20" s="231"/>
      <c r="G20" s="232"/>
      <c r="H20" s="593"/>
      <c r="I20" s="594"/>
      <c r="J20" s="594"/>
      <c r="K20" s="594"/>
      <c r="L20" s="594"/>
      <c r="M20" s="594"/>
      <c r="N20" s="594"/>
      <c r="O20" s="594"/>
      <c r="P20" s="594"/>
      <c r="Q20" s="594"/>
      <c r="R20" s="594"/>
      <c r="S20" s="594"/>
      <c r="T20" s="594"/>
      <c r="U20" s="594"/>
      <c r="V20" s="594"/>
      <c r="W20" s="594"/>
      <c r="X20" s="594"/>
      <c r="Y20" s="595"/>
    </row>
    <row r="21" spans="1:25" ht="9.9499999999999993" customHeight="1" x14ac:dyDescent="0.25">
      <c r="A21" s="549">
        <f t="shared" ref="A21" si="1">1+A18</f>
        <v>5</v>
      </c>
      <c r="B21" s="548"/>
      <c r="C21" s="229"/>
      <c r="D21" s="229"/>
      <c r="E21" s="229"/>
      <c r="F21" s="229"/>
      <c r="G21" s="230"/>
      <c r="H21" s="590"/>
      <c r="I21" s="591"/>
      <c r="J21" s="591"/>
      <c r="K21" s="591"/>
      <c r="L21" s="591"/>
      <c r="M21" s="591"/>
      <c r="N21" s="591"/>
      <c r="O21" s="591"/>
      <c r="P21" s="591"/>
      <c r="Q21" s="591"/>
      <c r="R21" s="591"/>
      <c r="S21" s="591"/>
      <c r="T21" s="591"/>
      <c r="U21" s="591"/>
      <c r="V21" s="591"/>
      <c r="W21" s="591"/>
      <c r="X21" s="591"/>
      <c r="Y21" s="592"/>
    </row>
    <row r="22" spans="1:25" s="27" customFormat="1" ht="20.100000000000001" customHeight="1" x14ac:dyDescent="0.25">
      <c r="A22" s="550"/>
      <c r="B22" s="548"/>
      <c r="C22" s="585" t="s">
        <v>165</v>
      </c>
      <c r="D22" s="586"/>
      <c r="E22" s="195"/>
      <c r="F22" s="195"/>
      <c r="G22" s="191"/>
      <c r="H22" s="597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  <c r="U22" s="598"/>
      <c r="V22" s="598"/>
      <c r="W22" s="598"/>
      <c r="X22" s="598"/>
      <c r="Y22" s="599"/>
    </row>
    <row r="23" spans="1:25" ht="9.9499999999999993" customHeight="1" x14ac:dyDescent="0.25">
      <c r="A23" s="551"/>
      <c r="B23" s="548"/>
      <c r="C23" s="231"/>
      <c r="D23" s="231"/>
      <c r="E23" s="231"/>
      <c r="F23" s="231"/>
      <c r="G23" s="232"/>
      <c r="H23" s="593"/>
      <c r="I23" s="594"/>
      <c r="J23" s="594"/>
      <c r="K23" s="594"/>
      <c r="L23" s="594"/>
      <c r="M23" s="594"/>
      <c r="N23" s="594"/>
      <c r="O23" s="594"/>
      <c r="P23" s="594"/>
      <c r="Q23" s="594"/>
      <c r="R23" s="594"/>
      <c r="S23" s="594"/>
      <c r="T23" s="594"/>
      <c r="U23" s="594"/>
      <c r="V23" s="594"/>
      <c r="W23" s="594"/>
      <c r="X23" s="594"/>
      <c r="Y23" s="595"/>
    </row>
    <row r="24" spans="1:25" ht="9.9499999999999993" customHeight="1" x14ac:dyDescent="0.25">
      <c r="A24" s="549">
        <f t="shared" ref="A24" si="2">1+A21</f>
        <v>6</v>
      </c>
      <c r="B24" s="548"/>
      <c r="C24" s="229"/>
      <c r="D24" s="229"/>
      <c r="E24" s="229"/>
      <c r="F24" s="229"/>
      <c r="G24" s="230"/>
      <c r="H24" s="590"/>
      <c r="I24" s="591"/>
      <c r="J24" s="591"/>
      <c r="K24" s="591"/>
      <c r="L24" s="591"/>
      <c r="M24" s="591"/>
      <c r="N24" s="591"/>
      <c r="O24" s="591"/>
      <c r="P24" s="591"/>
      <c r="Q24" s="591"/>
      <c r="R24" s="591"/>
      <c r="S24" s="591"/>
      <c r="T24" s="591"/>
      <c r="U24" s="591"/>
      <c r="V24" s="591"/>
      <c r="W24" s="591"/>
      <c r="X24" s="591"/>
      <c r="Y24" s="592"/>
    </row>
    <row r="25" spans="1:25" s="27" customFormat="1" ht="20.100000000000001" customHeight="1" x14ac:dyDescent="0.25">
      <c r="A25" s="550"/>
      <c r="B25" s="548"/>
      <c r="C25" s="585" t="s">
        <v>165</v>
      </c>
      <c r="D25" s="586"/>
      <c r="E25" s="195"/>
      <c r="F25" s="195"/>
      <c r="G25" s="191"/>
      <c r="H25" s="597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  <c r="U25" s="598"/>
      <c r="V25" s="598"/>
      <c r="W25" s="598"/>
      <c r="X25" s="598"/>
      <c r="Y25" s="599"/>
    </row>
    <row r="26" spans="1:25" ht="9.9499999999999993" customHeight="1" x14ac:dyDescent="0.25">
      <c r="A26" s="551"/>
      <c r="B26" s="548"/>
      <c r="C26" s="231"/>
      <c r="D26" s="231"/>
      <c r="E26" s="231"/>
      <c r="F26" s="231"/>
      <c r="G26" s="232"/>
      <c r="H26" s="593"/>
      <c r="I26" s="594"/>
      <c r="J26" s="594"/>
      <c r="K26" s="594"/>
      <c r="L26" s="594"/>
      <c r="M26" s="594"/>
      <c r="N26" s="594"/>
      <c r="O26" s="594"/>
      <c r="P26" s="594"/>
      <c r="Q26" s="594"/>
      <c r="R26" s="594"/>
      <c r="S26" s="594"/>
      <c r="T26" s="594"/>
      <c r="U26" s="594"/>
      <c r="V26" s="594"/>
      <c r="W26" s="594"/>
      <c r="X26" s="594"/>
      <c r="Y26" s="595"/>
    </row>
    <row r="27" spans="1:25" ht="9.9499999999999993" customHeight="1" x14ac:dyDescent="0.25">
      <c r="A27" s="549">
        <f t="shared" ref="A27" si="3">1+A24</f>
        <v>7</v>
      </c>
      <c r="B27" s="548"/>
      <c r="C27" s="229"/>
      <c r="D27" s="229"/>
      <c r="E27" s="229"/>
      <c r="F27" s="229"/>
      <c r="G27" s="230"/>
      <c r="H27" s="590"/>
      <c r="I27" s="591"/>
      <c r="J27" s="591"/>
      <c r="K27" s="591"/>
      <c r="L27" s="591"/>
      <c r="M27" s="591"/>
      <c r="N27" s="591"/>
      <c r="O27" s="591"/>
      <c r="P27" s="591"/>
      <c r="Q27" s="591"/>
      <c r="R27" s="591"/>
      <c r="S27" s="591"/>
      <c r="T27" s="591"/>
      <c r="U27" s="591"/>
      <c r="V27" s="591"/>
      <c r="W27" s="591"/>
      <c r="X27" s="591"/>
      <c r="Y27" s="592"/>
    </row>
    <row r="28" spans="1:25" s="27" customFormat="1" ht="20.100000000000001" customHeight="1" x14ac:dyDescent="0.25">
      <c r="A28" s="550"/>
      <c r="B28" s="548"/>
      <c r="C28" s="585" t="s">
        <v>165</v>
      </c>
      <c r="D28" s="586"/>
      <c r="E28" s="195"/>
      <c r="F28" s="195"/>
      <c r="G28" s="191"/>
      <c r="H28" s="597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  <c r="U28" s="598"/>
      <c r="V28" s="598"/>
      <c r="W28" s="598"/>
      <c r="X28" s="598"/>
      <c r="Y28" s="599"/>
    </row>
    <row r="29" spans="1:25" ht="9.9499999999999993" customHeight="1" x14ac:dyDescent="0.25">
      <c r="A29" s="551"/>
      <c r="B29" s="548"/>
      <c r="C29" s="231"/>
      <c r="D29" s="231"/>
      <c r="E29" s="231"/>
      <c r="F29" s="231"/>
      <c r="G29" s="232"/>
      <c r="H29" s="593"/>
      <c r="I29" s="594"/>
      <c r="J29" s="594"/>
      <c r="K29" s="594"/>
      <c r="L29" s="594"/>
      <c r="M29" s="594"/>
      <c r="N29" s="594"/>
      <c r="O29" s="594"/>
      <c r="P29" s="594"/>
      <c r="Q29" s="594"/>
      <c r="R29" s="594"/>
      <c r="S29" s="594"/>
      <c r="T29" s="594"/>
      <c r="U29" s="594"/>
      <c r="V29" s="594"/>
      <c r="W29" s="594"/>
      <c r="X29" s="594"/>
      <c r="Y29" s="595"/>
    </row>
    <row r="30" spans="1:25" ht="9.9499999999999993" customHeight="1" x14ac:dyDescent="0.25">
      <c r="A30" s="549">
        <f t="shared" ref="A30" si="4">1+A27</f>
        <v>8</v>
      </c>
      <c r="B30" s="548"/>
      <c r="C30" s="229"/>
      <c r="D30" s="229"/>
      <c r="E30" s="229"/>
      <c r="F30" s="229"/>
      <c r="G30" s="230"/>
      <c r="H30" s="590"/>
      <c r="I30" s="591"/>
      <c r="J30" s="591"/>
      <c r="K30" s="591"/>
      <c r="L30" s="591"/>
      <c r="M30" s="591"/>
      <c r="N30" s="591"/>
      <c r="O30" s="591"/>
      <c r="P30" s="591"/>
      <c r="Q30" s="591"/>
      <c r="R30" s="591"/>
      <c r="S30" s="591"/>
      <c r="T30" s="591"/>
      <c r="U30" s="591"/>
      <c r="V30" s="591"/>
      <c r="W30" s="591"/>
      <c r="X30" s="591"/>
      <c r="Y30" s="592"/>
    </row>
    <row r="31" spans="1:25" s="27" customFormat="1" ht="20.100000000000001" customHeight="1" x14ac:dyDescent="0.25">
      <c r="A31" s="550"/>
      <c r="B31" s="548"/>
      <c r="C31" s="585" t="s">
        <v>165</v>
      </c>
      <c r="D31" s="586"/>
      <c r="E31" s="195"/>
      <c r="F31" s="195"/>
      <c r="G31" s="191"/>
      <c r="H31" s="597"/>
      <c r="I31" s="598"/>
      <c r="J31" s="598"/>
      <c r="K31" s="598"/>
      <c r="L31" s="598"/>
      <c r="M31" s="598"/>
      <c r="N31" s="598"/>
      <c r="O31" s="598"/>
      <c r="P31" s="598"/>
      <c r="Q31" s="598"/>
      <c r="R31" s="598"/>
      <c r="S31" s="598"/>
      <c r="T31" s="598"/>
      <c r="U31" s="598"/>
      <c r="V31" s="598"/>
      <c r="W31" s="598"/>
      <c r="X31" s="598"/>
      <c r="Y31" s="599"/>
    </row>
    <row r="32" spans="1:25" ht="9.9499999999999993" customHeight="1" x14ac:dyDescent="0.25">
      <c r="A32" s="551"/>
      <c r="B32" s="548"/>
      <c r="C32" s="231"/>
      <c r="D32" s="231"/>
      <c r="E32" s="231"/>
      <c r="F32" s="231"/>
      <c r="G32" s="232"/>
      <c r="H32" s="593"/>
      <c r="I32" s="594"/>
      <c r="J32" s="594"/>
      <c r="K32" s="594"/>
      <c r="L32" s="594"/>
      <c r="M32" s="594"/>
      <c r="N32" s="594"/>
      <c r="O32" s="594"/>
      <c r="P32" s="594"/>
      <c r="Q32" s="594"/>
      <c r="R32" s="594"/>
      <c r="S32" s="594"/>
      <c r="T32" s="594"/>
      <c r="U32" s="594"/>
      <c r="V32" s="594"/>
      <c r="W32" s="594"/>
      <c r="X32" s="594"/>
      <c r="Y32" s="595"/>
    </row>
    <row r="33" spans="1:25" ht="9.9499999999999993" customHeight="1" x14ac:dyDescent="0.25">
      <c r="A33" s="549">
        <f t="shared" ref="A33" si="5">1+A30</f>
        <v>9</v>
      </c>
      <c r="B33" s="548"/>
      <c r="C33" s="229"/>
      <c r="D33" s="229"/>
      <c r="E33" s="229"/>
      <c r="F33" s="229"/>
      <c r="G33" s="230"/>
      <c r="H33" s="590"/>
      <c r="I33" s="591"/>
      <c r="J33" s="591"/>
      <c r="K33" s="591"/>
      <c r="L33" s="591"/>
      <c r="M33" s="591"/>
      <c r="N33" s="591"/>
      <c r="O33" s="591"/>
      <c r="P33" s="591"/>
      <c r="Q33" s="591"/>
      <c r="R33" s="591"/>
      <c r="S33" s="591"/>
      <c r="T33" s="591"/>
      <c r="U33" s="591"/>
      <c r="V33" s="591"/>
      <c r="W33" s="591"/>
      <c r="X33" s="591"/>
      <c r="Y33" s="592"/>
    </row>
    <row r="34" spans="1:25" s="27" customFormat="1" ht="20.100000000000001" customHeight="1" x14ac:dyDescent="0.25">
      <c r="A34" s="550"/>
      <c r="B34" s="548"/>
      <c r="C34" s="585" t="s">
        <v>165</v>
      </c>
      <c r="D34" s="586"/>
      <c r="E34" s="195"/>
      <c r="F34" s="195"/>
      <c r="G34" s="191"/>
      <c r="H34" s="597"/>
      <c r="I34" s="598"/>
      <c r="J34" s="598"/>
      <c r="K34" s="598"/>
      <c r="L34" s="598"/>
      <c r="M34" s="598"/>
      <c r="N34" s="598"/>
      <c r="O34" s="598"/>
      <c r="P34" s="598"/>
      <c r="Q34" s="598"/>
      <c r="R34" s="598"/>
      <c r="S34" s="598"/>
      <c r="T34" s="598"/>
      <c r="U34" s="598"/>
      <c r="V34" s="598"/>
      <c r="W34" s="598"/>
      <c r="X34" s="598"/>
      <c r="Y34" s="599"/>
    </row>
    <row r="35" spans="1:25" ht="9.75" customHeight="1" x14ac:dyDescent="0.25">
      <c r="A35" s="551"/>
      <c r="B35" s="548"/>
      <c r="C35" s="231"/>
      <c r="D35" s="231"/>
      <c r="E35" s="231"/>
      <c r="F35" s="231"/>
      <c r="G35" s="232"/>
      <c r="H35" s="593"/>
      <c r="I35" s="594"/>
      <c r="J35" s="594"/>
      <c r="K35" s="594"/>
      <c r="L35" s="594"/>
      <c r="M35" s="594"/>
      <c r="N35" s="594"/>
      <c r="O35" s="594"/>
      <c r="P35" s="594"/>
      <c r="Q35" s="594"/>
      <c r="R35" s="594"/>
      <c r="S35" s="594"/>
      <c r="T35" s="594"/>
      <c r="U35" s="594"/>
      <c r="V35" s="594"/>
      <c r="W35" s="594"/>
      <c r="X35" s="594"/>
      <c r="Y35" s="595"/>
    </row>
    <row r="36" spans="1:25" ht="9.9499999999999993" customHeight="1" x14ac:dyDescent="0.25">
      <c r="A36" s="549">
        <f t="shared" ref="A36" si="6">1+A33</f>
        <v>10</v>
      </c>
      <c r="B36" s="548"/>
      <c r="C36" s="229"/>
      <c r="D36" s="229"/>
      <c r="E36" s="229"/>
      <c r="F36" s="229"/>
      <c r="G36" s="230"/>
      <c r="H36" s="590"/>
      <c r="I36" s="591"/>
      <c r="J36" s="591"/>
      <c r="K36" s="591"/>
      <c r="L36" s="591"/>
      <c r="M36" s="591"/>
      <c r="N36" s="591"/>
      <c r="O36" s="591"/>
      <c r="P36" s="591"/>
      <c r="Q36" s="591"/>
      <c r="R36" s="591"/>
      <c r="S36" s="591"/>
      <c r="T36" s="591"/>
      <c r="U36" s="591"/>
      <c r="V36" s="591"/>
      <c r="W36" s="591"/>
      <c r="X36" s="591"/>
      <c r="Y36" s="592"/>
    </row>
    <row r="37" spans="1:25" s="27" customFormat="1" ht="20.100000000000001" customHeight="1" x14ac:dyDescent="0.25">
      <c r="A37" s="550"/>
      <c r="B37" s="548"/>
      <c r="C37" s="585" t="s">
        <v>165</v>
      </c>
      <c r="D37" s="586"/>
      <c r="E37" s="195"/>
      <c r="F37" s="195"/>
      <c r="G37" s="191"/>
      <c r="H37" s="597"/>
      <c r="I37" s="598"/>
      <c r="J37" s="598"/>
      <c r="K37" s="598"/>
      <c r="L37" s="598"/>
      <c r="M37" s="598"/>
      <c r="N37" s="598"/>
      <c r="O37" s="598"/>
      <c r="P37" s="598"/>
      <c r="Q37" s="598"/>
      <c r="R37" s="598"/>
      <c r="S37" s="598"/>
      <c r="T37" s="598"/>
      <c r="U37" s="598"/>
      <c r="V37" s="598"/>
      <c r="W37" s="598"/>
      <c r="X37" s="598"/>
      <c r="Y37" s="599"/>
    </row>
    <row r="38" spans="1:25" ht="9.9499999999999993" customHeight="1" x14ac:dyDescent="0.25">
      <c r="A38" s="551"/>
      <c r="B38" s="548"/>
      <c r="C38" s="231"/>
      <c r="D38" s="231"/>
      <c r="E38" s="231"/>
      <c r="F38" s="231"/>
      <c r="G38" s="232"/>
      <c r="H38" s="593"/>
      <c r="I38" s="594"/>
      <c r="J38" s="594"/>
      <c r="K38" s="594"/>
      <c r="L38" s="594"/>
      <c r="M38" s="594"/>
      <c r="N38" s="594"/>
      <c r="O38" s="594"/>
      <c r="P38" s="594"/>
      <c r="Q38" s="594"/>
      <c r="R38" s="594"/>
      <c r="S38" s="594"/>
      <c r="T38" s="594"/>
      <c r="U38" s="594"/>
      <c r="V38" s="594"/>
      <c r="W38" s="594"/>
      <c r="X38" s="594"/>
      <c r="Y38" s="595"/>
    </row>
    <row r="39" spans="1:25" ht="9.9499999999999993" customHeight="1" x14ac:dyDescent="0.25">
      <c r="A39" s="549">
        <f t="shared" ref="A39:A66" si="7">1+A36</f>
        <v>11</v>
      </c>
      <c r="B39" s="548"/>
      <c r="C39" s="229"/>
      <c r="D39" s="229"/>
      <c r="E39" s="229"/>
      <c r="F39" s="229"/>
      <c r="G39" s="230"/>
      <c r="H39" s="590"/>
      <c r="I39" s="591"/>
      <c r="J39" s="591"/>
      <c r="K39" s="591"/>
      <c r="L39" s="591"/>
      <c r="M39" s="591"/>
      <c r="N39" s="591"/>
      <c r="O39" s="591"/>
      <c r="P39" s="591"/>
      <c r="Q39" s="591"/>
      <c r="R39" s="591"/>
      <c r="S39" s="591"/>
      <c r="T39" s="591"/>
      <c r="U39" s="591"/>
      <c r="V39" s="591"/>
      <c r="W39" s="591"/>
      <c r="X39" s="591"/>
      <c r="Y39" s="592"/>
    </row>
    <row r="40" spans="1:25" s="27" customFormat="1" ht="20.100000000000001" customHeight="1" x14ac:dyDescent="0.25">
      <c r="A40" s="550"/>
      <c r="B40" s="548"/>
      <c r="C40" s="585" t="s">
        <v>165</v>
      </c>
      <c r="D40" s="586"/>
      <c r="E40" s="195"/>
      <c r="F40" s="195"/>
      <c r="G40" s="191"/>
      <c r="H40" s="597"/>
      <c r="I40" s="598"/>
      <c r="J40" s="598"/>
      <c r="K40" s="598"/>
      <c r="L40" s="598"/>
      <c r="M40" s="598"/>
      <c r="N40" s="598"/>
      <c r="O40" s="598"/>
      <c r="P40" s="598"/>
      <c r="Q40" s="598"/>
      <c r="R40" s="598"/>
      <c r="S40" s="598"/>
      <c r="T40" s="598"/>
      <c r="U40" s="598"/>
      <c r="V40" s="598"/>
      <c r="W40" s="598"/>
      <c r="X40" s="598"/>
      <c r="Y40" s="599"/>
    </row>
    <row r="41" spans="1:25" ht="9.9499999999999993" customHeight="1" x14ac:dyDescent="0.25">
      <c r="A41" s="551"/>
      <c r="B41" s="548"/>
      <c r="C41" s="231"/>
      <c r="D41" s="231"/>
      <c r="E41" s="231"/>
      <c r="F41" s="231"/>
      <c r="G41" s="232"/>
      <c r="H41" s="593"/>
      <c r="I41" s="594"/>
      <c r="J41" s="594"/>
      <c r="K41" s="594"/>
      <c r="L41" s="594"/>
      <c r="M41" s="594"/>
      <c r="N41" s="594"/>
      <c r="O41" s="594"/>
      <c r="P41" s="594"/>
      <c r="Q41" s="594"/>
      <c r="R41" s="594"/>
      <c r="S41" s="594"/>
      <c r="T41" s="594"/>
      <c r="U41" s="594"/>
      <c r="V41" s="594"/>
      <c r="W41" s="594"/>
      <c r="X41" s="594"/>
      <c r="Y41" s="595"/>
    </row>
    <row r="42" spans="1:25" ht="9.9499999999999993" customHeight="1" x14ac:dyDescent="0.25">
      <c r="A42" s="549">
        <f t="shared" si="7"/>
        <v>12</v>
      </c>
      <c r="B42" s="548"/>
      <c r="C42" s="229"/>
      <c r="D42" s="229"/>
      <c r="E42" s="229"/>
      <c r="F42" s="229"/>
      <c r="G42" s="230"/>
      <c r="H42" s="590"/>
      <c r="I42" s="591"/>
      <c r="J42" s="591"/>
      <c r="K42" s="591"/>
      <c r="L42" s="591"/>
      <c r="M42" s="591"/>
      <c r="N42" s="591"/>
      <c r="O42" s="591"/>
      <c r="P42" s="591"/>
      <c r="Q42" s="591"/>
      <c r="R42" s="591"/>
      <c r="S42" s="591"/>
      <c r="T42" s="591"/>
      <c r="U42" s="591"/>
      <c r="V42" s="591"/>
      <c r="W42" s="591"/>
      <c r="X42" s="591"/>
      <c r="Y42" s="592"/>
    </row>
    <row r="43" spans="1:25" s="27" customFormat="1" ht="20.100000000000001" customHeight="1" x14ac:dyDescent="0.25">
      <c r="A43" s="550"/>
      <c r="B43" s="548"/>
      <c r="C43" s="585" t="s">
        <v>165</v>
      </c>
      <c r="D43" s="586"/>
      <c r="E43" s="195"/>
      <c r="F43" s="195"/>
      <c r="G43" s="191"/>
      <c r="H43" s="597"/>
      <c r="I43" s="598"/>
      <c r="J43" s="598"/>
      <c r="K43" s="598"/>
      <c r="L43" s="598"/>
      <c r="M43" s="598"/>
      <c r="N43" s="598"/>
      <c r="O43" s="598"/>
      <c r="P43" s="598"/>
      <c r="Q43" s="598"/>
      <c r="R43" s="598"/>
      <c r="S43" s="598"/>
      <c r="T43" s="598"/>
      <c r="U43" s="598"/>
      <c r="V43" s="598"/>
      <c r="W43" s="598"/>
      <c r="X43" s="598"/>
      <c r="Y43" s="599"/>
    </row>
    <row r="44" spans="1:25" ht="9.9499999999999993" customHeight="1" x14ac:dyDescent="0.25">
      <c r="A44" s="551"/>
      <c r="B44" s="548"/>
      <c r="C44" s="231"/>
      <c r="D44" s="231"/>
      <c r="E44" s="231"/>
      <c r="F44" s="231"/>
      <c r="G44" s="232"/>
      <c r="H44" s="593"/>
      <c r="I44" s="594"/>
      <c r="J44" s="594"/>
      <c r="K44" s="594"/>
      <c r="L44" s="594"/>
      <c r="M44" s="594"/>
      <c r="N44" s="594"/>
      <c r="O44" s="594"/>
      <c r="P44" s="594"/>
      <c r="Q44" s="594"/>
      <c r="R44" s="594"/>
      <c r="S44" s="594"/>
      <c r="T44" s="594"/>
      <c r="U44" s="594"/>
      <c r="V44" s="594"/>
      <c r="W44" s="594"/>
      <c r="X44" s="594"/>
      <c r="Y44" s="595"/>
    </row>
    <row r="45" spans="1:25" ht="9.9499999999999993" customHeight="1" x14ac:dyDescent="0.25">
      <c r="A45" s="549">
        <f t="shared" si="7"/>
        <v>13</v>
      </c>
      <c r="B45" s="548"/>
      <c r="C45" s="229"/>
      <c r="D45" s="229"/>
      <c r="E45" s="229"/>
      <c r="F45" s="229"/>
      <c r="G45" s="230"/>
      <c r="H45" s="590"/>
      <c r="I45" s="591"/>
      <c r="J45" s="591"/>
      <c r="K45" s="591"/>
      <c r="L45" s="591"/>
      <c r="M45" s="591"/>
      <c r="N45" s="591"/>
      <c r="O45" s="591"/>
      <c r="P45" s="591"/>
      <c r="Q45" s="591"/>
      <c r="R45" s="591"/>
      <c r="S45" s="591"/>
      <c r="T45" s="591"/>
      <c r="U45" s="591"/>
      <c r="V45" s="591"/>
      <c r="W45" s="591"/>
      <c r="X45" s="591"/>
      <c r="Y45" s="592"/>
    </row>
    <row r="46" spans="1:25" s="27" customFormat="1" ht="20.100000000000001" customHeight="1" x14ac:dyDescent="0.25">
      <c r="A46" s="550"/>
      <c r="B46" s="548"/>
      <c r="C46" s="585" t="s">
        <v>165</v>
      </c>
      <c r="D46" s="586"/>
      <c r="E46" s="195"/>
      <c r="F46" s="195"/>
      <c r="G46" s="191"/>
      <c r="H46" s="597"/>
      <c r="I46" s="598"/>
      <c r="J46" s="598"/>
      <c r="K46" s="598"/>
      <c r="L46" s="598"/>
      <c r="M46" s="598"/>
      <c r="N46" s="598"/>
      <c r="O46" s="598"/>
      <c r="P46" s="598"/>
      <c r="Q46" s="598"/>
      <c r="R46" s="598"/>
      <c r="S46" s="598"/>
      <c r="T46" s="598"/>
      <c r="U46" s="598"/>
      <c r="V46" s="598"/>
      <c r="W46" s="598"/>
      <c r="X46" s="598"/>
      <c r="Y46" s="599"/>
    </row>
    <row r="47" spans="1:25" ht="9.9499999999999993" customHeight="1" x14ac:dyDescent="0.25">
      <c r="A47" s="551"/>
      <c r="B47" s="548"/>
      <c r="C47" s="231"/>
      <c r="D47" s="231"/>
      <c r="E47" s="231"/>
      <c r="F47" s="231"/>
      <c r="G47" s="232"/>
      <c r="H47" s="593"/>
      <c r="I47" s="594"/>
      <c r="J47" s="594"/>
      <c r="K47" s="594"/>
      <c r="L47" s="594"/>
      <c r="M47" s="594"/>
      <c r="N47" s="594"/>
      <c r="O47" s="594"/>
      <c r="P47" s="594"/>
      <c r="Q47" s="594"/>
      <c r="R47" s="594"/>
      <c r="S47" s="594"/>
      <c r="T47" s="594"/>
      <c r="U47" s="594"/>
      <c r="V47" s="594"/>
      <c r="W47" s="594"/>
      <c r="X47" s="594"/>
      <c r="Y47" s="595"/>
    </row>
    <row r="48" spans="1:25" ht="9.9499999999999993" customHeight="1" x14ac:dyDescent="0.25">
      <c r="A48" s="549">
        <f t="shared" si="7"/>
        <v>14</v>
      </c>
      <c r="B48" s="548"/>
      <c r="C48" s="229"/>
      <c r="D48" s="229"/>
      <c r="E48" s="229"/>
      <c r="F48" s="229"/>
      <c r="G48" s="230"/>
      <c r="H48" s="590"/>
      <c r="I48" s="591"/>
      <c r="J48" s="591"/>
      <c r="K48" s="591"/>
      <c r="L48" s="591"/>
      <c r="M48" s="591"/>
      <c r="N48" s="591"/>
      <c r="O48" s="591"/>
      <c r="P48" s="591"/>
      <c r="Q48" s="591"/>
      <c r="R48" s="591"/>
      <c r="S48" s="591"/>
      <c r="T48" s="591"/>
      <c r="U48" s="591"/>
      <c r="V48" s="591"/>
      <c r="W48" s="591"/>
      <c r="X48" s="591"/>
      <c r="Y48" s="592"/>
    </row>
    <row r="49" spans="1:25" s="27" customFormat="1" ht="20.100000000000001" customHeight="1" x14ac:dyDescent="0.25">
      <c r="A49" s="550"/>
      <c r="B49" s="548"/>
      <c r="C49" s="585" t="s">
        <v>165</v>
      </c>
      <c r="D49" s="586"/>
      <c r="E49" s="195"/>
      <c r="F49" s="195"/>
      <c r="G49" s="191"/>
      <c r="H49" s="597"/>
      <c r="I49" s="598"/>
      <c r="J49" s="598"/>
      <c r="K49" s="598"/>
      <c r="L49" s="598"/>
      <c r="M49" s="598"/>
      <c r="N49" s="598"/>
      <c r="O49" s="598"/>
      <c r="P49" s="598"/>
      <c r="Q49" s="598"/>
      <c r="R49" s="598"/>
      <c r="S49" s="598"/>
      <c r="T49" s="598"/>
      <c r="U49" s="598"/>
      <c r="V49" s="598"/>
      <c r="W49" s="598"/>
      <c r="X49" s="598"/>
      <c r="Y49" s="599"/>
    </row>
    <row r="50" spans="1:25" ht="9.9499999999999993" customHeight="1" x14ac:dyDescent="0.25">
      <c r="A50" s="551"/>
      <c r="B50" s="548"/>
      <c r="C50" s="231"/>
      <c r="D50" s="231"/>
      <c r="E50" s="231"/>
      <c r="F50" s="231"/>
      <c r="G50" s="232"/>
      <c r="H50" s="593"/>
      <c r="I50" s="594"/>
      <c r="J50" s="594"/>
      <c r="K50" s="594"/>
      <c r="L50" s="594"/>
      <c r="M50" s="594"/>
      <c r="N50" s="594"/>
      <c r="O50" s="594"/>
      <c r="P50" s="594"/>
      <c r="Q50" s="594"/>
      <c r="R50" s="594"/>
      <c r="S50" s="594"/>
      <c r="T50" s="594"/>
      <c r="U50" s="594"/>
      <c r="V50" s="594"/>
      <c r="W50" s="594"/>
      <c r="X50" s="594"/>
      <c r="Y50" s="595"/>
    </row>
    <row r="51" spans="1:25" ht="9.9499999999999993" customHeight="1" x14ac:dyDescent="0.25">
      <c r="A51" s="549">
        <f t="shared" si="7"/>
        <v>15</v>
      </c>
      <c r="B51" s="548"/>
      <c r="C51" s="229"/>
      <c r="D51" s="229"/>
      <c r="E51" s="229"/>
      <c r="F51" s="229"/>
      <c r="G51" s="230"/>
      <c r="H51" s="590"/>
      <c r="I51" s="591"/>
      <c r="J51" s="591"/>
      <c r="K51" s="591"/>
      <c r="L51" s="591"/>
      <c r="M51" s="591"/>
      <c r="N51" s="591"/>
      <c r="O51" s="591"/>
      <c r="P51" s="591"/>
      <c r="Q51" s="591"/>
      <c r="R51" s="591"/>
      <c r="S51" s="591"/>
      <c r="T51" s="591"/>
      <c r="U51" s="591"/>
      <c r="V51" s="591"/>
      <c r="W51" s="591"/>
      <c r="X51" s="591"/>
      <c r="Y51" s="592"/>
    </row>
    <row r="52" spans="1:25" s="27" customFormat="1" ht="20.100000000000001" customHeight="1" x14ac:dyDescent="0.25">
      <c r="A52" s="550"/>
      <c r="B52" s="548"/>
      <c r="C52" s="585" t="s">
        <v>165</v>
      </c>
      <c r="D52" s="586"/>
      <c r="E52" s="195"/>
      <c r="F52" s="195"/>
      <c r="G52" s="191"/>
      <c r="H52" s="597"/>
      <c r="I52" s="598"/>
      <c r="J52" s="598"/>
      <c r="K52" s="598"/>
      <c r="L52" s="598"/>
      <c r="M52" s="598"/>
      <c r="N52" s="598"/>
      <c r="O52" s="598"/>
      <c r="P52" s="598"/>
      <c r="Q52" s="598"/>
      <c r="R52" s="598"/>
      <c r="S52" s="598"/>
      <c r="T52" s="598"/>
      <c r="U52" s="598"/>
      <c r="V52" s="598"/>
      <c r="W52" s="598"/>
      <c r="X52" s="598"/>
      <c r="Y52" s="599"/>
    </row>
    <row r="53" spans="1:25" ht="9.9499999999999993" customHeight="1" x14ac:dyDescent="0.25">
      <c r="A53" s="551"/>
      <c r="B53" s="548"/>
      <c r="C53" s="231"/>
      <c r="D53" s="231"/>
      <c r="E53" s="231"/>
      <c r="F53" s="231"/>
      <c r="G53" s="232"/>
      <c r="H53" s="593"/>
      <c r="I53" s="594"/>
      <c r="J53" s="594"/>
      <c r="K53" s="594"/>
      <c r="L53" s="594"/>
      <c r="M53" s="594"/>
      <c r="N53" s="594"/>
      <c r="O53" s="594"/>
      <c r="P53" s="594"/>
      <c r="Q53" s="594"/>
      <c r="R53" s="594"/>
      <c r="S53" s="594"/>
      <c r="T53" s="594"/>
      <c r="U53" s="594"/>
      <c r="V53" s="594"/>
      <c r="W53" s="594"/>
      <c r="X53" s="594"/>
      <c r="Y53" s="595"/>
    </row>
    <row r="54" spans="1:25" ht="9.9499999999999993" customHeight="1" x14ac:dyDescent="0.25">
      <c r="A54" s="549">
        <f t="shared" si="7"/>
        <v>16</v>
      </c>
      <c r="B54" s="548"/>
      <c r="C54" s="229"/>
      <c r="D54" s="229"/>
      <c r="E54" s="229"/>
      <c r="F54" s="229"/>
      <c r="G54" s="230"/>
      <c r="H54" s="590"/>
      <c r="I54" s="591"/>
      <c r="J54" s="591"/>
      <c r="K54" s="591"/>
      <c r="L54" s="591"/>
      <c r="M54" s="591"/>
      <c r="N54" s="591"/>
      <c r="O54" s="591"/>
      <c r="P54" s="591"/>
      <c r="Q54" s="591"/>
      <c r="R54" s="591"/>
      <c r="S54" s="591"/>
      <c r="T54" s="591"/>
      <c r="U54" s="591"/>
      <c r="V54" s="591"/>
      <c r="W54" s="591"/>
      <c r="X54" s="591"/>
      <c r="Y54" s="592"/>
    </row>
    <row r="55" spans="1:25" s="27" customFormat="1" ht="20.100000000000001" customHeight="1" x14ac:dyDescent="0.25">
      <c r="A55" s="550"/>
      <c r="B55" s="548"/>
      <c r="C55" s="585" t="s">
        <v>165</v>
      </c>
      <c r="D55" s="586"/>
      <c r="E55" s="195"/>
      <c r="F55" s="195"/>
      <c r="G55" s="191"/>
      <c r="H55" s="597"/>
      <c r="I55" s="598"/>
      <c r="J55" s="598"/>
      <c r="K55" s="598"/>
      <c r="L55" s="598"/>
      <c r="M55" s="598"/>
      <c r="N55" s="598"/>
      <c r="O55" s="598"/>
      <c r="P55" s="598"/>
      <c r="Q55" s="598"/>
      <c r="R55" s="598"/>
      <c r="S55" s="598"/>
      <c r="T55" s="598"/>
      <c r="U55" s="598"/>
      <c r="V55" s="598"/>
      <c r="W55" s="598"/>
      <c r="X55" s="598"/>
      <c r="Y55" s="599"/>
    </row>
    <row r="56" spans="1:25" ht="9.9499999999999993" customHeight="1" x14ac:dyDescent="0.25">
      <c r="A56" s="551"/>
      <c r="B56" s="548"/>
      <c r="C56" s="231"/>
      <c r="D56" s="231"/>
      <c r="E56" s="231"/>
      <c r="F56" s="231"/>
      <c r="G56" s="232"/>
      <c r="H56" s="593"/>
      <c r="I56" s="594"/>
      <c r="J56" s="594"/>
      <c r="K56" s="594"/>
      <c r="L56" s="594"/>
      <c r="M56" s="594"/>
      <c r="N56" s="594"/>
      <c r="O56" s="594"/>
      <c r="P56" s="594"/>
      <c r="Q56" s="594"/>
      <c r="R56" s="594"/>
      <c r="S56" s="594"/>
      <c r="T56" s="594"/>
      <c r="U56" s="594"/>
      <c r="V56" s="594"/>
      <c r="W56" s="594"/>
      <c r="X56" s="594"/>
      <c r="Y56" s="595"/>
    </row>
    <row r="57" spans="1:25" ht="9.9499999999999993" customHeight="1" x14ac:dyDescent="0.25">
      <c r="A57" s="549">
        <f t="shared" si="7"/>
        <v>17</v>
      </c>
      <c r="B57" s="548"/>
      <c r="C57" s="229"/>
      <c r="D57" s="229"/>
      <c r="E57" s="229"/>
      <c r="F57" s="229"/>
      <c r="G57" s="230"/>
      <c r="H57" s="590"/>
      <c r="I57" s="591"/>
      <c r="J57" s="591"/>
      <c r="K57" s="591"/>
      <c r="L57" s="591"/>
      <c r="M57" s="591"/>
      <c r="N57" s="591"/>
      <c r="O57" s="591"/>
      <c r="P57" s="591"/>
      <c r="Q57" s="591"/>
      <c r="R57" s="591"/>
      <c r="S57" s="591"/>
      <c r="T57" s="591"/>
      <c r="U57" s="591"/>
      <c r="V57" s="591"/>
      <c r="W57" s="591"/>
      <c r="X57" s="591"/>
      <c r="Y57" s="592"/>
    </row>
    <row r="58" spans="1:25" s="27" customFormat="1" ht="20.100000000000001" customHeight="1" x14ac:dyDescent="0.25">
      <c r="A58" s="550"/>
      <c r="B58" s="548"/>
      <c r="C58" s="585" t="s">
        <v>165</v>
      </c>
      <c r="D58" s="586"/>
      <c r="E58" s="195"/>
      <c r="F58" s="195"/>
      <c r="G58" s="191"/>
      <c r="H58" s="597"/>
      <c r="I58" s="598"/>
      <c r="J58" s="598"/>
      <c r="K58" s="598"/>
      <c r="L58" s="598"/>
      <c r="M58" s="598"/>
      <c r="N58" s="598"/>
      <c r="O58" s="598"/>
      <c r="P58" s="598"/>
      <c r="Q58" s="598"/>
      <c r="R58" s="598"/>
      <c r="S58" s="598"/>
      <c r="T58" s="598"/>
      <c r="U58" s="598"/>
      <c r="V58" s="598"/>
      <c r="W58" s="598"/>
      <c r="X58" s="598"/>
      <c r="Y58" s="599"/>
    </row>
    <row r="59" spans="1:25" ht="9.9499999999999993" customHeight="1" x14ac:dyDescent="0.25">
      <c r="A59" s="551"/>
      <c r="B59" s="548"/>
      <c r="C59" s="231"/>
      <c r="D59" s="231"/>
      <c r="E59" s="231"/>
      <c r="F59" s="231"/>
      <c r="G59" s="232"/>
      <c r="H59" s="593"/>
      <c r="I59" s="594"/>
      <c r="J59" s="594"/>
      <c r="K59" s="594"/>
      <c r="L59" s="594"/>
      <c r="M59" s="594"/>
      <c r="N59" s="594"/>
      <c r="O59" s="594"/>
      <c r="P59" s="594"/>
      <c r="Q59" s="594"/>
      <c r="R59" s="594"/>
      <c r="S59" s="594"/>
      <c r="T59" s="594"/>
      <c r="U59" s="594"/>
      <c r="V59" s="594"/>
      <c r="W59" s="594"/>
      <c r="X59" s="594"/>
      <c r="Y59" s="595"/>
    </row>
    <row r="60" spans="1:25" ht="9.9499999999999993" customHeight="1" x14ac:dyDescent="0.25">
      <c r="A60" s="549">
        <f t="shared" si="7"/>
        <v>18</v>
      </c>
      <c r="B60" s="548"/>
      <c r="C60" s="229"/>
      <c r="D60" s="229"/>
      <c r="E60" s="229"/>
      <c r="F60" s="229"/>
      <c r="G60" s="230"/>
      <c r="H60" s="590"/>
      <c r="I60" s="591"/>
      <c r="J60" s="591"/>
      <c r="K60" s="591"/>
      <c r="L60" s="591"/>
      <c r="M60" s="591"/>
      <c r="N60" s="591"/>
      <c r="O60" s="591"/>
      <c r="P60" s="591"/>
      <c r="Q60" s="591"/>
      <c r="R60" s="591"/>
      <c r="S60" s="591"/>
      <c r="T60" s="591"/>
      <c r="U60" s="591"/>
      <c r="V60" s="591"/>
      <c r="W60" s="591"/>
      <c r="X60" s="591"/>
      <c r="Y60" s="592"/>
    </row>
    <row r="61" spans="1:25" s="27" customFormat="1" ht="20.100000000000001" customHeight="1" x14ac:dyDescent="0.25">
      <c r="A61" s="550"/>
      <c r="B61" s="548"/>
      <c r="C61" s="585" t="s">
        <v>165</v>
      </c>
      <c r="D61" s="586"/>
      <c r="E61" s="195"/>
      <c r="F61" s="195"/>
      <c r="G61" s="191"/>
      <c r="H61" s="597"/>
      <c r="I61" s="598"/>
      <c r="J61" s="598"/>
      <c r="K61" s="598"/>
      <c r="L61" s="598"/>
      <c r="M61" s="598"/>
      <c r="N61" s="598"/>
      <c r="O61" s="598"/>
      <c r="P61" s="598"/>
      <c r="Q61" s="598"/>
      <c r="R61" s="598"/>
      <c r="S61" s="598"/>
      <c r="T61" s="598"/>
      <c r="U61" s="598"/>
      <c r="V61" s="598"/>
      <c r="W61" s="598"/>
      <c r="X61" s="598"/>
      <c r="Y61" s="599"/>
    </row>
    <row r="62" spans="1:25" ht="9.9499999999999993" customHeight="1" x14ac:dyDescent="0.25">
      <c r="A62" s="551"/>
      <c r="B62" s="548"/>
      <c r="C62" s="231"/>
      <c r="D62" s="231"/>
      <c r="E62" s="231"/>
      <c r="F62" s="231"/>
      <c r="G62" s="232"/>
      <c r="H62" s="593"/>
      <c r="I62" s="594"/>
      <c r="J62" s="594"/>
      <c r="K62" s="594"/>
      <c r="L62" s="594"/>
      <c r="M62" s="594"/>
      <c r="N62" s="594"/>
      <c r="O62" s="594"/>
      <c r="P62" s="594"/>
      <c r="Q62" s="594"/>
      <c r="R62" s="594"/>
      <c r="S62" s="594"/>
      <c r="T62" s="594"/>
      <c r="U62" s="594"/>
      <c r="V62" s="594"/>
      <c r="W62" s="594"/>
      <c r="X62" s="594"/>
      <c r="Y62" s="595"/>
    </row>
    <row r="63" spans="1:25" ht="9.9499999999999993" customHeight="1" x14ac:dyDescent="0.25">
      <c r="A63" s="549">
        <f t="shared" si="7"/>
        <v>19</v>
      </c>
      <c r="B63" s="548"/>
      <c r="C63" s="229"/>
      <c r="D63" s="229"/>
      <c r="E63" s="229"/>
      <c r="F63" s="229"/>
      <c r="G63" s="230"/>
      <c r="H63" s="590"/>
      <c r="I63" s="591"/>
      <c r="J63" s="591"/>
      <c r="K63" s="591"/>
      <c r="L63" s="591"/>
      <c r="M63" s="591"/>
      <c r="N63" s="591"/>
      <c r="O63" s="591"/>
      <c r="P63" s="591"/>
      <c r="Q63" s="591"/>
      <c r="R63" s="591"/>
      <c r="S63" s="591"/>
      <c r="T63" s="591"/>
      <c r="U63" s="591"/>
      <c r="V63" s="591"/>
      <c r="W63" s="591"/>
      <c r="X63" s="591"/>
      <c r="Y63" s="592"/>
    </row>
    <row r="64" spans="1:25" s="27" customFormat="1" ht="20.100000000000001" customHeight="1" x14ac:dyDescent="0.25">
      <c r="A64" s="550"/>
      <c r="B64" s="548"/>
      <c r="C64" s="585" t="s">
        <v>165</v>
      </c>
      <c r="D64" s="586"/>
      <c r="E64" s="195"/>
      <c r="F64" s="195"/>
      <c r="G64" s="191"/>
      <c r="H64" s="597"/>
      <c r="I64" s="598"/>
      <c r="J64" s="598"/>
      <c r="K64" s="598"/>
      <c r="L64" s="598"/>
      <c r="M64" s="598"/>
      <c r="N64" s="598"/>
      <c r="O64" s="598"/>
      <c r="P64" s="598"/>
      <c r="Q64" s="598"/>
      <c r="R64" s="598"/>
      <c r="S64" s="598"/>
      <c r="T64" s="598"/>
      <c r="U64" s="598"/>
      <c r="V64" s="598"/>
      <c r="W64" s="598"/>
      <c r="X64" s="598"/>
      <c r="Y64" s="599"/>
    </row>
    <row r="65" spans="1:25" ht="9.9499999999999993" customHeight="1" x14ac:dyDescent="0.25">
      <c r="A65" s="551"/>
      <c r="B65" s="548"/>
      <c r="C65" s="231"/>
      <c r="D65" s="231"/>
      <c r="E65" s="231"/>
      <c r="F65" s="231"/>
      <c r="G65" s="232"/>
      <c r="H65" s="593"/>
      <c r="I65" s="594"/>
      <c r="J65" s="594"/>
      <c r="K65" s="594"/>
      <c r="L65" s="594"/>
      <c r="M65" s="594"/>
      <c r="N65" s="594"/>
      <c r="O65" s="594"/>
      <c r="P65" s="594"/>
      <c r="Q65" s="594"/>
      <c r="R65" s="594"/>
      <c r="S65" s="594"/>
      <c r="T65" s="594"/>
      <c r="U65" s="594"/>
      <c r="V65" s="594"/>
      <c r="W65" s="594"/>
      <c r="X65" s="594"/>
      <c r="Y65" s="595"/>
    </row>
    <row r="66" spans="1:25" ht="9.9499999999999993" customHeight="1" x14ac:dyDescent="0.25">
      <c r="A66" s="549">
        <f t="shared" si="7"/>
        <v>20</v>
      </c>
      <c r="B66" s="548"/>
      <c r="C66" s="229"/>
      <c r="D66" s="229"/>
      <c r="E66" s="229"/>
      <c r="F66" s="229"/>
      <c r="G66" s="230"/>
      <c r="H66" s="590"/>
      <c r="I66" s="591"/>
      <c r="J66" s="591"/>
      <c r="K66" s="591"/>
      <c r="L66" s="591"/>
      <c r="M66" s="591"/>
      <c r="N66" s="591"/>
      <c r="O66" s="591"/>
      <c r="P66" s="591"/>
      <c r="Q66" s="591"/>
      <c r="R66" s="591"/>
      <c r="S66" s="591"/>
      <c r="T66" s="591"/>
      <c r="U66" s="591"/>
      <c r="V66" s="591"/>
      <c r="W66" s="591"/>
      <c r="X66" s="591"/>
      <c r="Y66" s="592"/>
    </row>
    <row r="67" spans="1:25" s="27" customFormat="1" ht="20.100000000000001" customHeight="1" x14ac:dyDescent="0.25">
      <c r="A67" s="550"/>
      <c r="B67" s="548"/>
      <c r="C67" s="585" t="s">
        <v>165</v>
      </c>
      <c r="D67" s="586"/>
      <c r="E67" s="195"/>
      <c r="F67" s="195"/>
      <c r="G67" s="191"/>
      <c r="H67" s="597"/>
      <c r="I67" s="598"/>
      <c r="J67" s="598"/>
      <c r="K67" s="598"/>
      <c r="L67" s="598"/>
      <c r="M67" s="598"/>
      <c r="N67" s="598"/>
      <c r="O67" s="598"/>
      <c r="P67" s="598"/>
      <c r="Q67" s="598"/>
      <c r="R67" s="598"/>
      <c r="S67" s="598"/>
      <c r="T67" s="598"/>
      <c r="U67" s="598"/>
      <c r="V67" s="598"/>
      <c r="W67" s="598"/>
      <c r="X67" s="598"/>
      <c r="Y67" s="599"/>
    </row>
    <row r="68" spans="1:25" ht="9.9499999999999993" customHeight="1" x14ac:dyDescent="0.25">
      <c r="A68" s="551"/>
      <c r="B68" s="548"/>
      <c r="C68" s="231"/>
      <c r="D68" s="231"/>
      <c r="E68" s="231"/>
      <c r="F68" s="231"/>
      <c r="G68" s="232"/>
      <c r="H68" s="593"/>
      <c r="I68" s="594"/>
      <c r="J68" s="594"/>
      <c r="K68" s="594"/>
      <c r="L68" s="594"/>
      <c r="M68" s="594"/>
      <c r="N68" s="594"/>
      <c r="O68" s="594"/>
      <c r="P68" s="594"/>
      <c r="Q68" s="594"/>
      <c r="R68" s="594"/>
      <c r="S68" s="594"/>
      <c r="T68" s="594"/>
      <c r="U68" s="594"/>
      <c r="V68" s="594"/>
      <c r="W68" s="594"/>
      <c r="X68" s="594"/>
      <c r="Y68" s="595"/>
    </row>
    <row r="69" spans="1:25" ht="9.9499999999999993" customHeight="1" x14ac:dyDescent="0.25">
      <c r="A69" s="549">
        <f t="shared" ref="A69:A96" si="8">1+A66</f>
        <v>21</v>
      </c>
      <c r="B69" s="548"/>
      <c r="C69" s="229"/>
      <c r="D69" s="229"/>
      <c r="E69" s="229"/>
      <c r="F69" s="229"/>
      <c r="G69" s="230"/>
      <c r="H69" s="590"/>
      <c r="I69" s="591"/>
      <c r="J69" s="591"/>
      <c r="K69" s="591"/>
      <c r="L69" s="591"/>
      <c r="M69" s="591"/>
      <c r="N69" s="591"/>
      <c r="O69" s="591"/>
      <c r="P69" s="591"/>
      <c r="Q69" s="591"/>
      <c r="R69" s="591"/>
      <c r="S69" s="591"/>
      <c r="T69" s="591"/>
      <c r="U69" s="591"/>
      <c r="V69" s="591"/>
      <c r="W69" s="591"/>
      <c r="X69" s="591"/>
      <c r="Y69" s="592"/>
    </row>
    <row r="70" spans="1:25" s="27" customFormat="1" ht="20.100000000000001" customHeight="1" x14ac:dyDescent="0.25">
      <c r="A70" s="550"/>
      <c r="B70" s="548"/>
      <c r="C70" s="585" t="s">
        <v>165</v>
      </c>
      <c r="D70" s="586"/>
      <c r="E70" s="195"/>
      <c r="F70" s="195"/>
      <c r="G70" s="191"/>
      <c r="H70" s="597"/>
      <c r="I70" s="598"/>
      <c r="J70" s="598"/>
      <c r="K70" s="598"/>
      <c r="L70" s="598"/>
      <c r="M70" s="598"/>
      <c r="N70" s="598"/>
      <c r="O70" s="598"/>
      <c r="P70" s="598"/>
      <c r="Q70" s="598"/>
      <c r="R70" s="598"/>
      <c r="S70" s="598"/>
      <c r="T70" s="598"/>
      <c r="U70" s="598"/>
      <c r="V70" s="598"/>
      <c r="W70" s="598"/>
      <c r="X70" s="598"/>
      <c r="Y70" s="599"/>
    </row>
    <row r="71" spans="1:25" ht="9.9499999999999993" customHeight="1" x14ac:dyDescent="0.25">
      <c r="A71" s="551"/>
      <c r="B71" s="548"/>
      <c r="C71" s="231"/>
      <c r="D71" s="231"/>
      <c r="E71" s="231"/>
      <c r="F71" s="231"/>
      <c r="G71" s="232"/>
      <c r="H71" s="593"/>
      <c r="I71" s="594"/>
      <c r="J71" s="594"/>
      <c r="K71" s="594"/>
      <c r="L71" s="594"/>
      <c r="M71" s="594"/>
      <c r="N71" s="594"/>
      <c r="O71" s="594"/>
      <c r="P71" s="594"/>
      <c r="Q71" s="594"/>
      <c r="R71" s="594"/>
      <c r="S71" s="594"/>
      <c r="T71" s="594"/>
      <c r="U71" s="594"/>
      <c r="V71" s="594"/>
      <c r="W71" s="594"/>
      <c r="X71" s="594"/>
      <c r="Y71" s="595"/>
    </row>
    <row r="72" spans="1:25" ht="9.9499999999999993" customHeight="1" x14ac:dyDescent="0.25">
      <c r="A72" s="549">
        <f t="shared" si="8"/>
        <v>22</v>
      </c>
      <c r="B72" s="548"/>
      <c r="C72" s="229"/>
      <c r="D72" s="229"/>
      <c r="E72" s="229"/>
      <c r="F72" s="229"/>
      <c r="G72" s="230"/>
      <c r="H72" s="590"/>
      <c r="I72" s="591"/>
      <c r="J72" s="591"/>
      <c r="K72" s="591"/>
      <c r="L72" s="591"/>
      <c r="M72" s="591"/>
      <c r="N72" s="591"/>
      <c r="O72" s="591"/>
      <c r="P72" s="591"/>
      <c r="Q72" s="591"/>
      <c r="R72" s="591"/>
      <c r="S72" s="591"/>
      <c r="T72" s="591"/>
      <c r="U72" s="591"/>
      <c r="V72" s="591"/>
      <c r="W72" s="591"/>
      <c r="X72" s="591"/>
      <c r="Y72" s="592"/>
    </row>
    <row r="73" spans="1:25" s="27" customFormat="1" ht="20.100000000000001" customHeight="1" x14ac:dyDescent="0.25">
      <c r="A73" s="550"/>
      <c r="B73" s="548"/>
      <c r="C73" s="585" t="s">
        <v>165</v>
      </c>
      <c r="D73" s="586"/>
      <c r="E73" s="195"/>
      <c r="F73" s="195"/>
      <c r="G73" s="191"/>
      <c r="H73" s="597"/>
      <c r="I73" s="598"/>
      <c r="J73" s="598"/>
      <c r="K73" s="598"/>
      <c r="L73" s="598"/>
      <c r="M73" s="598"/>
      <c r="N73" s="598"/>
      <c r="O73" s="598"/>
      <c r="P73" s="598"/>
      <c r="Q73" s="598"/>
      <c r="R73" s="598"/>
      <c r="S73" s="598"/>
      <c r="T73" s="598"/>
      <c r="U73" s="598"/>
      <c r="V73" s="598"/>
      <c r="W73" s="598"/>
      <c r="X73" s="598"/>
      <c r="Y73" s="599"/>
    </row>
    <row r="74" spans="1:25" ht="9.9499999999999993" customHeight="1" x14ac:dyDescent="0.25">
      <c r="A74" s="551"/>
      <c r="B74" s="548"/>
      <c r="C74" s="231"/>
      <c r="D74" s="231"/>
      <c r="E74" s="231"/>
      <c r="F74" s="231"/>
      <c r="G74" s="232"/>
      <c r="H74" s="593"/>
      <c r="I74" s="594"/>
      <c r="J74" s="594"/>
      <c r="K74" s="594"/>
      <c r="L74" s="594"/>
      <c r="M74" s="594"/>
      <c r="N74" s="594"/>
      <c r="O74" s="594"/>
      <c r="P74" s="594"/>
      <c r="Q74" s="594"/>
      <c r="R74" s="594"/>
      <c r="S74" s="594"/>
      <c r="T74" s="594"/>
      <c r="U74" s="594"/>
      <c r="V74" s="594"/>
      <c r="W74" s="594"/>
      <c r="X74" s="594"/>
      <c r="Y74" s="595"/>
    </row>
    <row r="75" spans="1:25" ht="9.9499999999999993" customHeight="1" x14ac:dyDescent="0.25">
      <c r="A75" s="549">
        <f t="shared" si="8"/>
        <v>23</v>
      </c>
      <c r="B75" s="548"/>
      <c r="C75" s="229"/>
      <c r="D75" s="229"/>
      <c r="E75" s="229"/>
      <c r="F75" s="229"/>
      <c r="G75" s="230"/>
      <c r="H75" s="590"/>
      <c r="I75" s="591"/>
      <c r="J75" s="591"/>
      <c r="K75" s="591"/>
      <c r="L75" s="591"/>
      <c r="M75" s="591"/>
      <c r="N75" s="591"/>
      <c r="O75" s="591"/>
      <c r="P75" s="591"/>
      <c r="Q75" s="591"/>
      <c r="R75" s="591"/>
      <c r="S75" s="591"/>
      <c r="T75" s="591"/>
      <c r="U75" s="591"/>
      <c r="V75" s="591"/>
      <c r="W75" s="591"/>
      <c r="X75" s="591"/>
      <c r="Y75" s="592"/>
    </row>
    <row r="76" spans="1:25" s="27" customFormat="1" ht="20.100000000000001" customHeight="1" x14ac:dyDescent="0.25">
      <c r="A76" s="550"/>
      <c r="B76" s="548"/>
      <c r="C76" s="585" t="s">
        <v>165</v>
      </c>
      <c r="D76" s="586"/>
      <c r="E76" s="195"/>
      <c r="F76" s="195"/>
      <c r="G76" s="191"/>
      <c r="H76" s="597"/>
      <c r="I76" s="598"/>
      <c r="J76" s="598"/>
      <c r="K76" s="598"/>
      <c r="L76" s="598"/>
      <c r="M76" s="598"/>
      <c r="N76" s="598"/>
      <c r="O76" s="598"/>
      <c r="P76" s="598"/>
      <c r="Q76" s="598"/>
      <c r="R76" s="598"/>
      <c r="S76" s="598"/>
      <c r="T76" s="598"/>
      <c r="U76" s="598"/>
      <c r="V76" s="598"/>
      <c r="W76" s="598"/>
      <c r="X76" s="598"/>
      <c r="Y76" s="599"/>
    </row>
    <row r="77" spans="1:25" ht="9.9499999999999993" customHeight="1" x14ac:dyDescent="0.25">
      <c r="A77" s="551"/>
      <c r="B77" s="548"/>
      <c r="C77" s="231"/>
      <c r="D77" s="231"/>
      <c r="E77" s="231"/>
      <c r="F77" s="231"/>
      <c r="G77" s="232"/>
      <c r="H77" s="593"/>
      <c r="I77" s="594"/>
      <c r="J77" s="594"/>
      <c r="K77" s="594"/>
      <c r="L77" s="594"/>
      <c r="M77" s="594"/>
      <c r="N77" s="594"/>
      <c r="O77" s="594"/>
      <c r="P77" s="594"/>
      <c r="Q77" s="594"/>
      <c r="R77" s="594"/>
      <c r="S77" s="594"/>
      <c r="T77" s="594"/>
      <c r="U77" s="594"/>
      <c r="V77" s="594"/>
      <c r="W77" s="594"/>
      <c r="X77" s="594"/>
      <c r="Y77" s="595"/>
    </row>
    <row r="78" spans="1:25" ht="9.9499999999999993" customHeight="1" x14ac:dyDescent="0.25">
      <c r="A78" s="549">
        <f t="shared" si="8"/>
        <v>24</v>
      </c>
      <c r="B78" s="548"/>
      <c r="C78" s="229"/>
      <c r="D78" s="229"/>
      <c r="E78" s="229"/>
      <c r="F78" s="229"/>
      <c r="G78" s="230"/>
      <c r="H78" s="590"/>
      <c r="I78" s="591"/>
      <c r="J78" s="591"/>
      <c r="K78" s="591"/>
      <c r="L78" s="591"/>
      <c r="M78" s="591"/>
      <c r="N78" s="591"/>
      <c r="O78" s="591"/>
      <c r="P78" s="591"/>
      <c r="Q78" s="591"/>
      <c r="R78" s="591"/>
      <c r="S78" s="591"/>
      <c r="T78" s="591"/>
      <c r="U78" s="591"/>
      <c r="V78" s="591"/>
      <c r="W78" s="591"/>
      <c r="X78" s="591"/>
      <c r="Y78" s="592"/>
    </row>
    <row r="79" spans="1:25" s="27" customFormat="1" ht="20.100000000000001" customHeight="1" x14ac:dyDescent="0.25">
      <c r="A79" s="550"/>
      <c r="B79" s="548"/>
      <c r="C79" s="585" t="s">
        <v>165</v>
      </c>
      <c r="D79" s="586"/>
      <c r="E79" s="195"/>
      <c r="F79" s="195"/>
      <c r="G79" s="191"/>
      <c r="H79" s="597"/>
      <c r="I79" s="598"/>
      <c r="J79" s="598"/>
      <c r="K79" s="598"/>
      <c r="L79" s="598"/>
      <c r="M79" s="598"/>
      <c r="N79" s="598"/>
      <c r="O79" s="598"/>
      <c r="P79" s="598"/>
      <c r="Q79" s="598"/>
      <c r="R79" s="598"/>
      <c r="S79" s="598"/>
      <c r="T79" s="598"/>
      <c r="U79" s="598"/>
      <c r="V79" s="598"/>
      <c r="W79" s="598"/>
      <c r="X79" s="598"/>
      <c r="Y79" s="599"/>
    </row>
    <row r="80" spans="1:25" ht="9.9499999999999993" customHeight="1" x14ac:dyDescent="0.25">
      <c r="A80" s="551"/>
      <c r="B80" s="548"/>
      <c r="C80" s="231"/>
      <c r="D80" s="231"/>
      <c r="E80" s="231"/>
      <c r="F80" s="231"/>
      <c r="G80" s="232"/>
      <c r="H80" s="593"/>
      <c r="I80" s="594"/>
      <c r="J80" s="594"/>
      <c r="K80" s="594"/>
      <c r="L80" s="594"/>
      <c r="M80" s="594"/>
      <c r="N80" s="594"/>
      <c r="O80" s="594"/>
      <c r="P80" s="594"/>
      <c r="Q80" s="594"/>
      <c r="R80" s="594"/>
      <c r="S80" s="594"/>
      <c r="T80" s="594"/>
      <c r="U80" s="594"/>
      <c r="V80" s="594"/>
      <c r="W80" s="594"/>
      <c r="X80" s="594"/>
      <c r="Y80" s="595"/>
    </row>
    <row r="81" spans="1:25" ht="9.9499999999999993" customHeight="1" x14ac:dyDescent="0.25">
      <c r="A81" s="549">
        <f t="shared" si="8"/>
        <v>25</v>
      </c>
      <c r="B81" s="548"/>
      <c r="C81" s="229"/>
      <c r="D81" s="229"/>
      <c r="E81" s="229"/>
      <c r="F81" s="229"/>
      <c r="G81" s="230"/>
      <c r="H81" s="590"/>
      <c r="I81" s="591"/>
      <c r="J81" s="591"/>
      <c r="K81" s="591"/>
      <c r="L81" s="591"/>
      <c r="M81" s="591"/>
      <c r="N81" s="591"/>
      <c r="O81" s="591"/>
      <c r="P81" s="591"/>
      <c r="Q81" s="591"/>
      <c r="R81" s="591"/>
      <c r="S81" s="591"/>
      <c r="T81" s="591"/>
      <c r="U81" s="591"/>
      <c r="V81" s="591"/>
      <c r="W81" s="591"/>
      <c r="X81" s="591"/>
      <c r="Y81" s="592"/>
    </row>
    <row r="82" spans="1:25" s="27" customFormat="1" ht="20.100000000000001" customHeight="1" x14ac:dyDescent="0.25">
      <c r="A82" s="550"/>
      <c r="B82" s="548"/>
      <c r="C82" s="585" t="s">
        <v>165</v>
      </c>
      <c r="D82" s="586"/>
      <c r="E82" s="195"/>
      <c r="F82" s="195"/>
      <c r="G82" s="191"/>
      <c r="H82" s="597"/>
      <c r="I82" s="598"/>
      <c r="J82" s="598"/>
      <c r="K82" s="598"/>
      <c r="L82" s="598"/>
      <c r="M82" s="598"/>
      <c r="N82" s="598"/>
      <c r="O82" s="598"/>
      <c r="P82" s="598"/>
      <c r="Q82" s="598"/>
      <c r="R82" s="598"/>
      <c r="S82" s="598"/>
      <c r="T82" s="598"/>
      <c r="U82" s="598"/>
      <c r="V82" s="598"/>
      <c r="W82" s="598"/>
      <c r="X82" s="598"/>
      <c r="Y82" s="599"/>
    </row>
    <row r="83" spans="1:25" ht="9.9499999999999993" customHeight="1" x14ac:dyDescent="0.25">
      <c r="A83" s="551"/>
      <c r="B83" s="548"/>
      <c r="C83" s="231"/>
      <c r="D83" s="231"/>
      <c r="E83" s="231"/>
      <c r="F83" s="231"/>
      <c r="G83" s="232"/>
      <c r="H83" s="593"/>
      <c r="I83" s="594"/>
      <c r="J83" s="594"/>
      <c r="K83" s="594"/>
      <c r="L83" s="594"/>
      <c r="M83" s="594"/>
      <c r="N83" s="594"/>
      <c r="O83" s="594"/>
      <c r="P83" s="594"/>
      <c r="Q83" s="594"/>
      <c r="R83" s="594"/>
      <c r="S83" s="594"/>
      <c r="T83" s="594"/>
      <c r="U83" s="594"/>
      <c r="V83" s="594"/>
      <c r="W83" s="594"/>
      <c r="X83" s="594"/>
      <c r="Y83" s="595"/>
    </row>
    <row r="84" spans="1:25" ht="9.9499999999999993" customHeight="1" x14ac:dyDescent="0.25">
      <c r="A84" s="549">
        <f t="shared" si="8"/>
        <v>26</v>
      </c>
      <c r="B84" s="548"/>
      <c r="C84" s="229"/>
      <c r="D84" s="229"/>
      <c r="E84" s="229"/>
      <c r="F84" s="229"/>
      <c r="G84" s="230"/>
      <c r="H84" s="590"/>
      <c r="I84" s="591"/>
      <c r="J84" s="591"/>
      <c r="K84" s="591"/>
      <c r="L84" s="591"/>
      <c r="M84" s="591"/>
      <c r="N84" s="591"/>
      <c r="O84" s="591"/>
      <c r="P84" s="591"/>
      <c r="Q84" s="591"/>
      <c r="R84" s="591"/>
      <c r="S84" s="591"/>
      <c r="T84" s="591"/>
      <c r="U84" s="591"/>
      <c r="V84" s="591"/>
      <c r="W84" s="591"/>
      <c r="X84" s="591"/>
      <c r="Y84" s="592"/>
    </row>
    <row r="85" spans="1:25" s="27" customFormat="1" ht="20.100000000000001" customHeight="1" x14ac:dyDescent="0.25">
      <c r="A85" s="550"/>
      <c r="B85" s="548"/>
      <c r="C85" s="585" t="s">
        <v>165</v>
      </c>
      <c r="D85" s="586"/>
      <c r="E85" s="195"/>
      <c r="F85" s="195"/>
      <c r="G85" s="191"/>
      <c r="H85" s="597"/>
      <c r="I85" s="598"/>
      <c r="J85" s="598"/>
      <c r="K85" s="598"/>
      <c r="L85" s="598"/>
      <c r="M85" s="598"/>
      <c r="N85" s="598"/>
      <c r="O85" s="598"/>
      <c r="P85" s="598"/>
      <c r="Q85" s="598"/>
      <c r="R85" s="598"/>
      <c r="S85" s="598"/>
      <c r="T85" s="598"/>
      <c r="U85" s="598"/>
      <c r="V85" s="598"/>
      <c r="W85" s="598"/>
      <c r="X85" s="598"/>
      <c r="Y85" s="599"/>
    </row>
    <row r="86" spans="1:25" ht="9.9499999999999993" customHeight="1" x14ac:dyDescent="0.25">
      <c r="A86" s="551"/>
      <c r="B86" s="548"/>
      <c r="C86" s="231"/>
      <c r="D86" s="231"/>
      <c r="E86" s="231"/>
      <c r="F86" s="231"/>
      <c r="G86" s="232"/>
      <c r="H86" s="593"/>
      <c r="I86" s="594"/>
      <c r="J86" s="594"/>
      <c r="K86" s="594"/>
      <c r="L86" s="594"/>
      <c r="M86" s="594"/>
      <c r="N86" s="594"/>
      <c r="O86" s="594"/>
      <c r="P86" s="594"/>
      <c r="Q86" s="594"/>
      <c r="R86" s="594"/>
      <c r="S86" s="594"/>
      <c r="T86" s="594"/>
      <c r="U86" s="594"/>
      <c r="V86" s="594"/>
      <c r="W86" s="594"/>
      <c r="X86" s="594"/>
      <c r="Y86" s="595"/>
    </row>
    <row r="87" spans="1:25" ht="9.9499999999999993" customHeight="1" x14ac:dyDescent="0.25">
      <c r="A87" s="549">
        <f t="shared" si="8"/>
        <v>27</v>
      </c>
      <c r="B87" s="548"/>
      <c r="C87" s="229"/>
      <c r="D87" s="229"/>
      <c r="E87" s="229"/>
      <c r="F87" s="229"/>
      <c r="G87" s="230"/>
      <c r="H87" s="590"/>
      <c r="I87" s="591"/>
      <c r="J87" s="591"/>
      <c r="K87" s="591"/>
      <c r="L87" s="591"/>
      <c r="M87" s="591"/>
      <c r="N87" s="591"/>
      <c r="O87" s="591"/>
      <c r="P87" s="591"/>
      <c r="Q87" s="591"/>
      <c r="R87" s="591"/>
      <c r="S87" s="591"/>
      <c r="T87" s="591"/>
      <c r="U87" s="591"/>
      <c r="V87" s="591"/>
      <c r="W87" s="591"/>
      <c r="X87" s="591"/>
      <c r="Y87" s="592"/>
    </row>
    <row r="88" spans="1:25" s="27" customFormat="1" ht="20.100000000000001" customHeight="1" x14ac:dyDescent="0.25">
      <c r="A88" s="550"/>
      <c r="B88" s="548"/>
      <c r="C88" s="585" t="s">
        <v>165</v>
      </c>
      <c r="D88" s="586"/>
      <c r="E88" s="195"/>
      <c r="F88" s="195"/>
      <c r="G88" s="191"/>
      <c r="H88" s="597"/>
      <c r="I88" s="598"/>
      <c r="J88" s="598"/>
      <c r="K88" s="598"/>
      <c r="L88" s="598"/>
      <c r="M88" s="598"/>
      <c r="N88" s="598"/>
      <c r="O88" s="598"/>
      <c r="P88" s="598"/>
      <c r="Q88" s="598"/>
      <c r="R88" s="598"/>
      <c r="S88" s="598"/>
      <c r="T88" s="598"/>
      <c r="U88" s="598"/>
      <c r="V88" s="598"/>
      <c r="W88" s="598"/>
      <c r="X88" s="598"/>
      <c r="Y88" s="599"/>
    </row>
    <row r="89" spans="1:25" ht="9.9499999999999993" customHeight="1" x14ac:dyDescent="0.25">
      <c r="A89" s="551"/>
      <c r="B89" s="548"/>
      <c r="C89" s="231"/>
      <c r="D89" s="231"/>
      <c r="E89" s="231"/>
      <c r="F89" s="231"/>
      <c r="G89" s="232"/>
      <c r="H89" s="593"/>
      <c r="I89" s="594"/>
      <c r="J89" s="594"/>
      <c r="K89" s="594"/>
      <c r="L89" s="594"/>
      <c r="M89" s="594"/>
      <c r="N89" s="594"/>
      <c r="O89" s="594"/>
      <c r="P89" s="594"/>
      <c r="Q89" s="594"/>
      <c r="R89" s="594"/>
      <c r="S89" s="594"/>
      <c r="T89" s="594"/>
      <c r="U89" s="594"/>
      <c r="V89" s="594"/>
      <c r="W89" s="594"/>
      <c r="X89" s="594"/>
      <c r="Y89" s="595"/>
    </row>
    <row r="90" spans="1:25" ht="9.9499999999999993" customHeight="1" x14ac:dyDescent="0.25">
      <c r="A90" s="549">
        <f t="shared" si="8"/>
        <v>28</v>
      </c>
      <c r="B90" s="548"/>
      <c r="C90" s="229"/>
      <c r="D90" s="229"/>
      <c r="E90" s="229"/>
      <c r="F90" s="229"/>
      <c r="G90" s="230"/>
      <c r="H90" s="590"/>
      <c r="I90" s="591"/>
      <c r="J90" s="591"/>
      <c r="K90" s="591"/>
      <c r="L90" s="591"/>
      <c r="M90" s="591"/>
      <c r="N90" s="591"/>
      <c r="O90" s="591"/>
      <c r="P90" s="591"/>
      <c r="Q90" s="591"/>
      <c r="R90" s="591"/>
      <c r="S90" s="591"/>
      <c r="T90" s="591"/>
      <c r="U90" s="591"/>
      <c r="V90" s="591"/>
      <c r="W90" s="591"/>
      <c r="X90" s="591"/>
      <c r="Y90" s="592"/>
    </row>
    <row r="91" spans="1:25" s="27" customFormat="1" ht="20.100000000000001" customHeight="1" x14ac:dyDescent="0.25">
      <c r="A91" s="550"/>
      <c r="B91" s="548"/>
      <c r="C91" s="585" t="s">
        <v>165</v>
      </c>
      <c r="D91" s="586"/>
      <c r="E91" s="195"/>
      <c r="F91" s="195"/>
      <c r="G91" s="191"/>
      <c r="H91" s="597"/>
      <c r="I91" s="598"/>
      <c r="J91" s="598"/>
      <c r="K91" s="598"/>
      <c r="L91" s="598"/>
      <c r="M91" s="598"/>
      <c r="N91" s="598"/>
      <c r="O91" s="598"/>
      <c r="P91" s="598"/>
      <c r="Q91" s="598"/>
      <c r="R91" s="598"/>
      <c r="S91" s="598"/>
      <c r="T91" s="598"/>
      <c r="U91" s="598"/>
      <c r="V91" s="598"/>
      <c r="W91" s="598"/>
      <c r="X91" s="598"/>
      <c r="Y91" s="599"/>
    </row>
    <row r="92" spans="1:25" ht="9.9499999999999993" customHeight="1" x14ac:dyDescent="0.25">
      <c r="A92" s="551"/>
      <c r="B92" s="548"/>
      <c r="C92" s="231"/>
      <c r="D92" s="231"/>
      <c r="E92" s="231"/>
      <c r="F92" s="231"/>
      <c r="G92" s="232"/>
      <c r="H92" s="593"/>
      <c r="I92" s="594"/>
      <c r="J92" s="594"/>
      <c r="K92" s="594"/>
      <c r="L92" s="594"/>
      <c r="M92" s="594"/>
      <c r="N92" s="594"/>
      <c r="O92" s="594"/>
      <c r="P92" s="594"/>
      <c r="Q92" s="594"/>
      <c r="R92" s="594"/>
      <c r="S92" s="594"/>
      <c r="T92" s="594"/>
      <c r="U92" s="594"/>
      <c r="V92" s="594"/>
      <c r="W92" s="594"/>
      <c r="X92" s="594"/>
      <c r="Y92" s="595"/>
    </row>
    <row r="93" spans="1:25" ht="9.9499999999999993" customHeight="1" x14ac:dyDescent="0.25">
      <c r="A93" s="549">
        <f t="shared" si="8"/>
        <v>29</v>
      </c>
      <c r="B93" s="548"/>
      <c r="C93" s="229"/>
      <c r="D93" s="229"/>
      <c r="E93" s="229"/>
      <c r="F93" s="229"/>
      <c r="G93" s="230"/>
      <c r="H93" s="590"/>
      <c r="I93" s="591"/>
      <c r="J93" s="591"/>
      <c r="K93" s="591"/>
      <c r="L93" s="591"/>
      <c r="M93" s="591"/>
      <c r="N93" s="591"/>
      <c r="O93" s="591"/>
      <c r="P93" s="591"/>
      <c r="Q93" s="591"/>
      <c r="R93" s="591"/>
      <c r="S93" s="591"/>
      <c r="T93" s="591"/>
      <c r="U93" s="591"/>
      <c r="V93" s="591"/>
      <c r="W93" s="591"/>
      <c r="X93" s="591"/>
      <c r="Y93" s="592"/>
    </row>
    <row r="94" spans="1:25" s="27" customFormat="1" ht="20.100000000000001" customHeight="1" x14ac:dyDescent="0.25">
      <c r="A94" s="550"/>
      <c r="B94" s="548"/>
      <c r="C94" s="585" t="s">
        <v>165</v>
      </c>
      <c r="D94" s="586"/>
      <c r="E94" s="195"/>
      <c r="F94" s="195"/>
      <c r="G94" s="191"/>
      <c r="H94" s="597"/>
      <c r="I94" s="598"/>
      <c r="J94" s="598"/>
      <c r="K94" s="598"/>
      <c r="L94" s="598"/>
      <c r="M94" s="598"/>
      <c r="N94" s="598"/>
      <c r="O94" s="598"/>
      <c r="P94" s="598"/>
      <c r="Q94" s="598"/>
      <c r="R94" s="598"/>
      <c r="S94" s="598"/>
      <c r="T94" s="598"/>
      <c r="U94" s="598"/>
      <c r="V94" s="598"/>
      <c r="W94" s="598"/>
      <c r="X94" s="598"/>
      <c r="Y94" s="599"/>
    </row>
    <row r="95" spans="1:25" ht="9.9499999999999993" customHeight="1" x14ac:dyDescent="0.25">
      <c r="A95" s="551"/>
      <c r="B95" s="548"/>
      <c r="C95" s="231"/>
      <c r="D95" s="231"/>
      <c r="E95" s="231"/>
      <c r="F95" s="231"/>
      <c r="G95" s="232"/>
      <c r="H95" s="593"/>
      <c r="I95" s="594"/>
      <c r="J95" s="594"/>
      <c r="K95" s="594"/>
      <c r="L95" s="594"/>
      <c r="M95" s="594"/>
      <c r="N95" s="594"/>
      <c r="O95" s="594"/>
      <c r="P95" s="594"/>
      <c r="Q95" s="594"/>
      <c r="R95" s="594"/>
      <c r="S95" s="594"/>
      <c r="T95" s="594"/>
      <c r="U95" s="594"/>
      <c r="V95" s="594"/>
      <c r="W95" s="594"/>
      <c r="X95" s="594"/>
      <c r="Y95" s="595"/>
    </row>
    <row r="96" spans="1:25" ht="9.9499999999999993" customHeight="1" x14ac:dyDescent="0.25">
      <c r="A96" s="549">
        <f t="shared" si="8"/>
        <v>30</v>
      </c>
      <c r="B96" s="548"/>
      <c r="C96" s="229"/>
      <c r="D96" s="229"/>
      <c r="E96" s="229"/>
      <c r="F96" s="229"/>
      <c r="G96" s="230"/>
      <c r="H96" s="590"/>
      <c r="I96" s="591"/>
      <c r="J96" s="591"/>
      <c r="K96" s="591"/>
      <c r="L96" s="591"/>
      <c r="M96" s="591"/>
      <c r="N96" s="591"/>
      <c r="O96" s="591"/>
      <c r="P96" s="591"/>
      <c r="Q96" s="591"/>
      <c r="R96" s="591"/>
      <c r="S96" s="591"/>
      <c r="T96" s="591"/>
      <c r="U96" s="591"/>
      <c r="V96" s="591"/>
      <c r="W96" s="591"/>
      <c r="X96" s="591"/>
      <c r="Y96" s="592"/>
    </row>
    <row r="97" spans="1:25" s="27" customFormat="1" ht="20.100000000000001" customHeight="1" x14ac:dyDescent="0.25">
      <c r="A97" s="550"/>
      <c r="B97" s="548"/>
      <c r="C97" s="585" t="s">
        <v>165</v>
      </c>
      <c r="D97" s="586"/>
      <c r="E97" s="195"/>
      <c r="F97" s="195"/>
      <c r="G97" s="191"/>
      <c r="H97" s="597"/>
      <c r="I97" s="598"/>
      <c r="J97" s="598"/>
      <c r="K97" s="598"/>
      <c r="L97" s="598"/>
      <c r="M97" s="598"/>
      <c r="N97" s="598"/>
      <c r="O97" s="598"/>
      <c r="P97" s="598"/>
      <c r="Q97" s="598"/>
      <c r="R97" s="598"/>
      <c r="S97" s="598"/>
      <c r="T97" s="598"/>
      <c r="U97" s="598"/>
      <c r="V97" s="598"/>
      <c r="W97" s="598"/>
      <c r="X97" s="598"/>
      <c r="Y97" s="599"/>
    </row>
    <row r="98" spans="1:25" ht="9.9499999999999993" customHeight="1" x14ac:dyDescent="0.25">
      <c r="A98" s="551"/>
      <c r="B98" s="548"/>
      <c r="C98" s="231"/>
      <c r="D98" s="231"/>
      <c r="E98" s="231"/>
      <c r="F98" s="231"/>
      <c r="G98" s="232"/>
      <c r="H98" s="593"/>
      <c r="I98" s="594"/>
      <c r="J98" s="594"/>
      <c r="K98" s="594"/>
      <c r="L98" s="594"/>
      <c r="M98" s="594"/>
      <c r="N98" s="594"/>
      <c r="O98" s="594"/>
      <c r="P98" s="594"/>
      <c r="Q98" s="594"/>
      <c r="R98" s="594"/>
      <c r="S98" s="594"/>
      <c r="T98" s="594"/>
      <c r="U98" s="594"/>
      <c r="V98" s="594"/>
      <c r="W98" s="594"/>
      <c r="X98" s="594"/>
      <c r="Y98" s="595"/>
    </row>
    <row r="99" spans="1:25" ht="9.9499999999999993" customHeight="1" x14ac:dyDescent="0.25">
      <c r="A99" s="549">
        <f t="shared" ref="A99:A126" si="9">1+A96</f>
        <v>31</v>
      </c>
      <c r="B99" s="548"/>
      <c r="C99" s="229"/>
      <c r="D99" s="229"/>
      <c r="E99" s="229"/>
      <c r="F99" s="229"/>
      <c r="G99" s="230"/>
      <c r="H99" s="590"/>
      <c r="I99" s="591"/>
      <c r="J99" s="591"/>
      <c r="K99" s="591"/>
      <c r="L99" s="591"/>
      <c r="M99" s="591"/>
      <c r="N99" s="591"/>
      <c r="O99" s="591"/>
      <c r="P99" s="591"/>
      <c r="Q99" s="591"/>
      <c r="R99" s="591"/>
      <c r="S99" s="591"/>
      <c r="T99" s="591"/>
      <c r="U99" s="591"/>
      <c r="V99" s="591"/>
      <c r="W99" s="591"/>
      <c r="X99" s="591"/>
      <c r="Y99" s="592"/>
    </row>
    <row r="100" spans="1:25" s="27" customFormat="1" ht="20.100000000000001" customHeight="1" x14ac:dyDescent="0.25">
      <c r="A100" s="550"/>
      <c r="B100" s="548"/>
      <c r="C100" s="585" t="s">
        <v>165</v>
      </c>
      <c r="D100" s="586"/>
      <c r="E100" s="195"/>
      <c r="F100" s="195"/>
      <c r="G100" s="191"/>
      <c r="H100" s="597"/>
      <c r="I100" s="598"/>
      <c r="J100" s="598"/>
      <c r="K100" s="598"/>
      <c r="L100" s="598"/>
      <c r="M100" s="598"/>
      <c r="N100" s="598"/>
      <c r="O100" s="598"/>
      <c r="P100" s="598"/>
      <c r="Q100" s="598"/>
      <c r="R100" s="598"/>
      <c r="S100" s="598"/>
      <c r="T100" s="598"/>
      <c r="U100" s="598"/>
      <c r="V100" s="598"/>
      <c r="W100" s="598"/>
      <c r="X100" s="598"/>
      <c r="Y100" s="599"/>
    </row>
    <row r="101" spans="1:25" ht="9.9499999999999993" customHeight="1" x14ac:dyDescent="0.25">
      <c r="A101" s="551"/>
      <c r="B101" s="548"/>
      <c r="C101" s="231"/>
      <c r="D101" s="231"/>
      <c r="E101" s="231"/>
      <c r="F101" s="231"/>
      <c r="G101" s="232"/>
      <c r="H101" s="593"/>
      <c r="I101" s="594"/>
      <c r="J101" s="594"/>
      <c r="K101" s="594"/>
      <c r="L101" s="594"/>
      <c r="M101" s="594"/>
      <c r="N101" s="594"/>
      <c r="O101" s="594"/>
      <c r="P101" s="594"/>
      <c r="Q101" s="594"/>
      <c r="R101" s="594"/>
      <c r="S101" s="594"/>
      <c r="T101" s="594"/>
      <c r="U101" s="594"/>
      <c r="V101" s="594"/>
      <c r="W101" s="594"/>
      <c r="X101" s="594"/>
      <c r="Y101" s="595"/>
    </row>
    <row r="102" spans="1:25" ht="9.9499999999999993" customHeight="1" x14ac:dyDescent="0.25">
      <c r="A102" s="549">
        <f t="shared" si="9"/>
        <v>32</v>
      </c>
      <c r="B102" s="548"/>
      <c r="C102" s="229"/>
      <c r="D102" s="229"/>
      <c r="E102" s="229"/>
      <c r="F102" s="229"/>
      <c r="G102" s="230"/>
      <c r="H102" s="590"/>
      <c r="I102" s="591"/>
      <c r="J102" s="591"/>
      <c r="K102" s="591"/>
      <c r="L102" s="591"/>
      <c r="M102" s="591"/>
      <c r="N102" s="591"/>
      <c r="O102" s="591"/>
      <c r="P102" s="591"/>
      <c r="Q102" s="591"/>
      <c r="R102" s="591"/>
      <c r="S102" s="591"/>
      <c r="T102" s="591"/>
      <c r="U102" s="591"/>
      <c r="V102" s="591"/>
      <c r="W102" s="591"/>
      <c r="X102" s="591"/>
      <c r="Y102" s="592"/>
    </row>
    <row r="103" spans="1:25" s="27" customFormat="1" ht="20.100000000000001" customHeight="1" x14ac:dyDescent="0.25">
      <c r="A103" s="550"/>
      <c r="B103" s="548"/>
      <c r="C103" s="585" t="s">
        <v>165</v>
      </c>
      <c r="D103" s="586"/>
      <c r="E103" s="195"/>
      <c r="F103" s="195"/>
      <c r="G103" s="191"/>
      <c r="H103" s="597"/>
      <c r="I103" s="598"/>
      <c r="J103" s="598"/>
      <c r="K103" s="598"/>
      <c r="L103" s="598"/>
      <c r="M103" s="598"/>
      <c r="N103" s="598"/>
      <c r="O103" s="598"/>
      <c r="P103" s="598"/>
      <c r="Q103" s="598"/>
      <c r="R103" s="598"/>
      <c r="S103" s="598"/>
      <c r="T103" s="598"/>
      <c r="U103" s="598"/>
      <c r="V103" s="598"/>
      <c r="W103" s="598"/>
      <c r="X103" s="598"/>
      <c r="Y103" s="599"/>
    </row>
    <row r="104" spans="1:25" ht="9.9499999999999993" customHeight="1" x14ac:dyDescent="0.25">
      <c r="A104" s="551"/>
      <c r="B104" s="548"/>
      <c r="C104" s="231"/>
      <c r="D104" s="231"/>
      <c r="E104" s="231"/>
      <c r="F104" s="231"/>
      <c r="G104" s="232"/>
      <c r="H104" s="593"/>
      <c r="I104" s="594"/>
      <c r="J104" s="594"/>
      <c r="K104" s="594"/>
      <c r="L104" s="594"/>
      <c r="M104" s="594"/>
      <c r="N104" s="594"/>
      <c r="O104" s="594"/>
      <c r="P104" s="594"/>
      <c r="Q104" s="594"/>
      <c r="R104" s="594"/>
      <c r="S104" s="594"/>
      <c r="T104" s="594"/>
      <c r="U104" s="594"/>
      <c r="V104" s="594"/>
      <c r="W104" s="594"/>
      <c r="X104" s="594"/>
      <c r="Y104" s="595"/>
    </row>
    <row r="105" spans="1:25" ht="9.9499999999999993" customHeight="1" x14ac:dyDescent="0.25">
      <c r="A105" s="549">
        <f t="shared" si="9"/>
        <v>33</v>
      </c>
      <c r="B105" s="548"/>
      <c r="C105" s="229"/>
      <c r="D105" s="229"/>
      <c r="E105" s="229"/>
      <c r="F105" s="229"/>
      <c r="G105" s="230"/>
      <c r="H105" s="590"/>
      <c r="I105" s="591"/>
      <c r="J105" s="591"/>
      <c r="K105" s="591"/>
      <c r="L105" s="591"/>
      <c r="M105" s="591"/>
      <c r="N105" s="591"/>
      <c r="O105" s="591"/>
      <c r="P105" s="591"/>
      <c r="Q105" s="591"/>
      <c r="R105" s="591"/>
      <c r="S105" s="591"/>
      <c r="T105" s="591"/>
      <c r="U105" s="591"/>
      <c r="V105" s="591"/>
      <c r="W105" s="591"/>
      <c r="X105" s="591"/>
      <c r="Y105" s="592"/>
    </row>
    <row r="106" spans="1:25" s="27" customFormat="1" ht="20.100000000000001" customHeight="1" x14ac:dyDescent="0.25">
      <c r="A106" s="550"/>
      <c r="B106" s="548"/>
      <c r="C106" s="585" t="s">
        <v>165</v>
      </c>
      <c r="D106" s="586"/>
      <c r="E106" s="195"/>
      <c r="F106" s="195"/>
      <c r="G106" s="191"/>
      <c r="H106" s="597"/>
      <c r="I106" s="598"/>
      <c r="J106" s="598"/>
      <c r="K106" s="598"/>
      <c r="L106" s="598"/>
      <c r="M106" s="598"/>
      <c r="N106" s="598"/>
      <c r="O106" s="598"/>
      <c r="P106" s="598"/>
      <c r="Q106" s="598"/>
      <c r="R106" s="598"/>
      <c r="S106" s="598"/>
      <c r="T106" s="598"/>
      <c r="U106" s="598"/>
      <c r="V106" s="598"/>
      <c r="W106" s="598"/>
      <c r="X106" s="598"/>
      <c r="Y106" s="599"/>
    </row>
    <row r="107" spans="1:25" ht="9.9499999999999993" customHeight="1" x14ac:dyDescent="0.25">
      <c r="A107" s="551"/>
      <c r="B107" s="548"/>
      <c r="C107" s="231"/>
      <c r="D107" s="231"/>
      <c r="E107" s="231"/>
      <c r="F107" s="231"/>
      <c r="G107" s="232"/>
      <c r="H107" s="593"/>
      <c r="I107" s="594"/>
      <c r="J107" s="594"/>
      <c r="K107" s="594"/>
      <c r="L107" s="594"/>
      <c r="M107" s="594"/>
      <c r="N107" s="594"/>
      <c r="O107" s="594"/>
      <c r="P107" s="594"/>
      <c r="Q107" s="594"/>
      <c r="R107" s="594"/>
      <c r="S107" s="594"/>
      <c r="T107" s="594"/>
      <c r="U107" s="594"/>
      <c r="V107" s="594"/>
      <c r="W107" s="594"/>
      <c r="X107" s="594"/>
      <c r="Y107" s="595"/>
    </row>
    <row r="108" spans="1:25" ht="9.9499999999999993" customHeight="1" x14ac:dyDescent="0.25">
      <c r="A108" s="549">
        <f t="shared" si="9"/>
        <v>34</v>
      </c>
      <c r="B108" s="548"/>
      <c r="C108" s="229"/>
      <c r="D108" s="229"/>
      <c r="E108" s="229"/>
      <c r="F108" s="229"/>
      <c r="G108" s="230"/>
      <c r="H108" s="590"/>
      <c r="I108" s="591"/>
      <c r="J108" s="591"/>
      <c r="K108" s="591"/>
      <c r="L108" s="591"/>
      <c r="M108" s="591"/>
      <c r="N108" s="591"/>
      <c r="O108" s="591"/>
      <c r="P108" s="591"/>
      <c r="Q108" s="591"/>
      <c r="R108" s="591"/>
      <c r="S108" s="591"/>
      <c r="T108" s="591"/>
      <c r="U108" s="591"/>
      <c r="V108" s="591"/>
      <c r="W108" s="591"/>
      <c r="X108" s="591"/>
      <c r="Y108" s="592"/>
    </row>
    <row r="109" spans="1:25" s="27" customFormat="1" ht="20.100000000000001" customHeight="1" x14ac:dyDescent="0.25">
      <c r="A109" s="550"/>
      <c r="B109" s="548"/>
      <c r="C109" s="585" t="s">
        <v>165</v>
      </c>
      <c r="D109" s="586"/>
      <c r="E109" s="195"/>
      <c r="F109" s="195"/>
      <c r="G109" s="191"/>
      <c r="H109" s="597"/>
      <c r="I109" s="598"/>
      <c r="J109" s="598"/>
      <c r="K109" s="598"/>
      <c r="L109" s="598"/>
      <c r="M109" s="598"/>
      <c r="N109" s="598"/>
      <c r="O109" s="598"/>
      <c r="P109" s="598"/>
      <c r="Q109" s="598"/>
      <c r="R109" s="598"/>
      <c r="S109" s="598"/>
      <c r="T109" s="598"/>
      <c r="U109" s="598"/>
      <c r="V109" s="598"/>
      <c r="W109" s="598"/>
      <c r="X109" s="598"/>
      <c r="Y109" s="599"/>
    </row>
    <row r="110" spans="1:25" ht="9.9499999999999993" customHeight="1" x14ac:dyDescent="0.25">
      <c r="A110" s="551"/>
      <c r="B110" s="548"/>
      <c r="C110" s="231"/>
      <c r="D110" s="231"/>
      <c r="E110" s="231"/>
      <c r="F110" s="231"/>
      <c r="G110" s="232"/>
      <c r="H110" s="593"/>
      <c r="I110" s="594"/>
      <c r="J110" s="594"/>
      <c r="K110" s="594"/>
      <c r="L110" s="594"/>
      <c r="M110" s="594"/>
      <c r="N110" s="594"/>
      <c r="O110" s="594"/>
      <c r="P110" s="594"/>
      <c r="Q110" s="594"/>
      <c r="R110" s="594"/>
      <c r="S110" s="594"/>
      <c r="T110" s="594"/>
      <c r="U110" s="594"/>
      <c r="V110" s="594"/>
      <c r="W110" s="594"/>
      <c r="X110" s="594"/>
      <c r="Y110" s="595"/>
    </row>
    <row r="111" spans="1:25" ht="9.9499999999999993" customHeight="1" x14ac:dyDescent="0.25">
      <c r="A111" s="549">
        <f t="shared" si="9"/>
        <v>35</v>
      </c>
      <c r="B111" s="548"/>
      <c r="C111" s="229"/>
      <c r="D111" s="229"/>
      <c r="E111" s="229"/>
      <c r="F111" s="229"/>
      <c r="G111" s="230"/>
      <c r="H111" s="590"/>
      <c r="I111" s="591"/>
      <c r="J111" s="591"/>
      <c r="K111" s="591"/>
      <c r="L111" s="591"/>
      <c r="M111" s="591"/>
      <c r="N111" s="591"/>
      <c r="O111" s="591"/>
      <c r="P111" s="591"/>
      <c r="Q111" s="591"/>
      <c r="R111" s="591"/>
      <c r="S111" s="591"/>
      <c r="T111" s="591"/>
      <c r="U111" s="591"/>
      <c r="V111" s="591"/>
      <c r="W111" s="591"/>
      <c r="X111" s="591"/>
      <c r="Y111" s="592"/>
    </row>
    <row r="112" spans="1:25" s="27" customFormat="1" ht="20.100000000000001" customHeight="1" x14ac:dyDescent="0.25">
      <c r="A112" s="550"/>
      <c r="B112" s="548"/>
      <c r="C112" s="585" t="s">
        <v>165</v>
      </c>
      <c r="D112" s="586"/>
      <c r="E112" s="195"/>
      <c r="F112" s="195"/>
      <c r="G112" s="191"/>
      <c r="H112" s="597"/>
      <c r="I112" s="598"/>
      <c r="J112" s="598"/>
      <c r="K112" s="598"/>
      <c r="L112" s="598"/>
      <c r="M112" s="598"/>
      <c r="N112" s="598"/>
      <c r="O112" s="598"/>
      <c r="P112" s="598"/>
      <c r="Q112" s="598"/>
      <c r="R112" s="598"/>
      <c r="S112" s="598"/>
      <c r="T112" s="598"/>
      <c r="U112" s="598"/>
      <c r="V112" s="598"/>
      <c r="W112" s="598"/>
      <c r="X112" s="598"/>
      <c r="Y112" s="599"/>
    </row>
    <row r="113" spans="1:25" ht="9.9499999999999993" customHeight="1" x14ac:dyDescent="0.25">
      <c r="A113" s="551"/>
      <c r="B113" s="548"/>
      <c r="C113" s="231"/>
      <c r="D113" s="231"/>
      <c r="E113" s="231"/>
      <c r="F113" s="231"/>
      <c r="G113" s="232"/>
      <c r="H113" s="593"/>
      <c r="I113" s="594"/>
      <c r="J113" s="594"/>
      <c r="K113" s="594"/>
      <c r="L113" s="594"/>
      <c r="M113" s="594"/>
      <c r="N113" s="594"/>
      <c r="O113" s="594"/>
      <c r="P113" s="594"/>
      <c r="Q113" s="594"/>
      <c r="R113" s="594"/>
      <c r="S113" s="594"/>
      <c r="T113" s="594"/>
      <c r="U113" s="594"/>
      <c r="V113" s="594"/>
      <c r="W113" s="594"/>
      <c r="X113" s="594"/>
      <c r="Y113" s="595"/>
    </row>
    <row r="114" spans="1:25" ht="9.9499999999999993" customHeight="1" x14ac:dyDescent="0.25">
      <c r="A114" s="549">
        <f t="shared" si="9"/>
        <v>36</v>
      </c>
      <c r="B114" s="548"/>
      <c r="C114" s="229"/>
      <c r="D114" s="229"/>
      <c r="E114" s="229"/>
      <c r="F114" s="229"/>
      <c r="G114" s="230"/>
      <c r="H114" s="590"/>
      <c r="I114" s="591"/>
      <c r="J114" s="591"/>
      <c r="K114" s="591"/>
      <c r="L114" s="591"/>
      <c r="M114" s="591"/>
      <c r="N114" s="591"/>
      <c r="O114" s="591"/>
      <c r="P114" s="591"/>
      <c r="Q114" s="591"/>
      <c r="R114" s="591"/>
      <c r="S114" s="591"/>
      <c r="T114" s="591"/>
      <c r="U114" s="591"/>
      <c r="V114" s="591"/>
      <c r="W114" s="591"/>
      <c r="X114" s="591"/>
      <c r="Y114" s="592"/>
    </row>
    <row r="115" spans="1:25" s="27" customFormat="1" ht="20.100000000000001" customHeight="1" x14ac:dyDescent="0.25">
      <c r="A115" s="550"/>
      <c r="B115" s="548"/>
      <c r="C115" s="585" t="s">
        <v>165</v>
      </c>
      <c r="D115" s="586"/>
      <c r="E115" s="195"/>
      <c r="F115" s="195"/>
      <c r="G115" s="191"/>
      <c r="H115" s="597"/>
      <c r="I115" s="598"/>
      <c r="J115" s="598"/>
      <c r="K115" s="598"/>
      <c r="L115" s="598"/>
      <c r="M115" s="598"/>
      <c r="N115" s="598"/>
      <c r="O115" s="598"/>
      <c r="P115" s="598"/>
      <c r="Q115" s="598"/>
      <c r="R115" s="598"/>
      <c r="S115" s="598"/>
      <c r="T115" s="598"/>
      <c r="U115" s="598"/>
      <c r="V115" s="598"/>
      <c r="W115" s="598"/>
      <c r="X115" s="598"/>
      <c r="Y115" s="599"/>
    </row>
    <row r="116" spans="1:25" ht="9.9499999999999993" customHeight="1" x14ac:dyDescent="0.25">
      <c r="A116" s="551"/>
      <c r="B116" s="548"/>
      <c r="C116" s="231"/>
      <c r="D116" s="231"/>
      <c r="E116" s="231"/>
      <c r="F116" s="231"/>
      <c r="G116" s="232"/>
      <c r="H116" s="593"/>
      <c r="I116" s="594"/>
      <c r="J116" s="594"/>
      <c r="K116" s="594"/>
      <c r="L116" s="594"/>
      <c r="M116" s="594"/>
      <c r="N116" s="594"/>
      <c r="O116" s="594"/>
      <c r="P116" s="594"/>
      <c r="Q116" s="594"/>
      <c r="R116" s="594"/>
      <c r="S116" s="594"/>
      <c r="T116" s="594"/>
      <c r="U116" s="594"/>
      <c r="V116" s="594"/>
      <c r="W116" s="594"/>
      <c r="X116" s="594"/>
      <c r="Y116" s="595"/>
    </row>
    <row r="117" spans="1:25" ht="9.9499999999999993" customHeight="1" x14ac:dyDescent="0.25">
      <c r="A117" s="549">
        <f t="shared" si="9"/>
        <v>37</v>
      </c>
      <c r="B117" s="548"/>
      <c r="C117" s="229"/>
      <c r="D117" s="229"/>
      <c r="E117" s="229"/>
      <c r="F117" s="229"/>
      <c r="G117" s="230"/>
      <c r="H117" s="590"/>
      <c r="I117" s="591"/>
      <c r="J117" s="591"/>
      <c r="K117" s="591"/>
      <c r="L117" s="591"/>
      <c r="M117" s="591"/>
      <c r="N117" s="591"/>
      <c r="O117" s="591"/>
      <c r="P117" s="591"/>
      <c r="Q117" s="591"/>
      <c r="R117" s="591"/>
      <c r="S117" s="591"/>
      <c r="T117" s="591"/>
      <c r="U117" s="591"/>
      <c r="V117" s="591"/>
      <c r="W117" s="591"/>
      <c r="X117" s="591"/>
      <c r="Y117" s="592"/>
    </row>
    <row r="118" spans="1:25" s="27" customFormat="1" ht="20.100000000000001" customHeight="1" x14ac:dyDescent="0.25">
      <c r="A118" s="550"/>
      <c r="B118" s="548"/>
      <c r="C118" s="585" t="s">
        <v>165</v>
      </c>
      <c r="D118" s="586"/>
      <c r="E118" s="195"/>
      <c r="F118" s="195"/>
      <c r="G118" s="191"/>
      <c r="H118" s="597"/>
      <c r="I118" s="598"/>
      <c r="J118" s="598"/>
      <c r="K118" s="598"/>
      <c r="L118" s="598"/>
      <c r="M118" s="598"/>
      <c r="N118" s="598"/>
      <c r="O118" s="598"/>
      <c r="P118" s="598"/>
      <c r="Q118" s="598"/>
      <c r="R118" s="598"/>
      <c r="S118" s="598"/>
      <c r="T118" s="598"/>
      <c r="U118" s="598"/>
      <c r="V118" s="598"/>
      <c r="W118" s="598"/>
      <c r="X118" s="598"/>
      <c r="Y118" s="599"/>
    </row>
    <row r="119" spans="1:25" ht="9.9499999999999993" customHeight="1" x14ac:dyDescent="0.25">
      <c r="A119" s="551"/>
      <c r="B119" s="548"/>
      <c r="C119" s="231"/>
      <c r="D119" s="231"/>
      <c r="E119" s="231"/>
      <c r="F119" s="231"/>
      <c r="G119" s="232"/>
      <c r="H119" s="593"/>
      <c r="I119" s="594"/>
      <c r="J119" s="594"/>
      <c r="K119" s="594"/>
      <c r="L119" s="594"/>
      <c r="M119" s="594"/>
      <c r="N119" s="594"/>
      <c r="O119" s="594"/>
      <c r="P119" s="594"/>
      <c r="Q119" s="594"/>
      <c r="R119" s="594"/>
      <c r="S119" s="594"/>
      <c r="T119" s="594"/>
      <c r="U119" s="594"/>
      <c r="V119" s="594"/>
      <c r="W119" s="594"/>
      <c r="X119" s="594"/>
      <c r="Y119" s="595"/>
    </row>
    <row r="120" spans="1:25" ht="9.9499999999999993" customHeight="1" x14ac:dyDescent="0.25">
      <c r="A120" s="549">
        <f t="shared" si="9"/>
        <v>38</v>
      </c>
      <c r="B120" s="548"/>
      <c r="C120" s="229"/>
      <c r="D120" s="229"/>
      <c r="E120" s="229"/>
      <c r="F120" s="229"/>
      <c r="G120" s="230"/>
      <c r="H120" s="590"/>
      <c r="I120" s="591"/>
      <c r="J120" s="591"/>
      <c r="K120" s="591"/>
      <c r="L120" s="591"/>
      <c r="M120" s="591"/>
      <c r="N120" s="591"/>
      <c r="O120" s="591"/>
      <c r="P120" s="591"/>
      <c r="Q120" s="591"/>
      <c r="R120" s="591"/>
      <c r="S120" s="591"/>
      <c r="T120" s="591"/>
      <c r="U120" s="591"/>
      <c r="V120" s="591"/>
      <c r="W120" s="591"/>
      <c r="X120" s="591"/>
      <c r="Y120" s="592"/>
    </row>
    <row r="121" spans="1:25" s="27" customFormat="1" ht="20.100000000000001" customHeight="1" x14ac:dyDescent="0.25">
      <c r="A121" s="550"/>
      <c r="B121" s="548"/>
      <c r="C121" s="585" t="s">
        <v>165</v>
      </c>
      <c r="D121" s="586"/>
      <c r="E121" s="195"/>
      <c r="F121" s="195"/>
      <c r="G121" s="191"/>
      <c r="H121" s="597"/>
      <c r="I121" s="598"/>
      <c r="J121" s="598"/>
      <c r="K121" s="598"/>
      <c r="L121" s="598"/>
      <c r="M121" s="598"/>
      <c r="N121" s="598"/>
      <c r="O121" s="598"/>
      <c r="P121" s="598"/>
      <c r="Q121" s="598"/>
      <c r="R121" s="598"/>
      <c r="S121" s="598"/>
      <c r="T121" s="598"/>
      <c r="U121" s="598"/>
      <c r="V121" s="598"/>
      <c r="W121" s="598"/>
      <c r="X121" s="598"/>
      <c r="Y121" s="599"/>
    </row>
    <row r="122" spans="1:25" ht="9.9499999999999993" customHeight="1" x14ac:dyDescent="0.25">
      <c r="A122" s="551"/>
      <c r="B122" s="548"/>
      <c r="C122" s="231"/>
      <c r="D122" s="231"/>
      <c r="E122" s="231"/>
      <c r="F122" s="231"/>
      <c r="G122" s="232"/>
      <c r="H122" s="593"/>
      <c r="I122" s="594"/>
      <c r="J122" s="594"/>
      <c r="K122" s="594"/>
      <c r="L122" s="594"/>
      <c r="M122" s="594"/>
      <c r="N122" s="594"/>
      <c r="O122" s="594"/>
      <c r="P122" s="594"/>
      <c r="Q122" s="594"/>
      <c r="R122" s="594"/>
      <c r="S122" s="594"/>
      <c r="T122" s="594"/>
      <c r="U122" s="594"/>
      <c r="V122" s="594"/>
      <c r="W122" s="594"/>
      <c r="X122" s="594"/>
      <c r="Y122" s="595"/>
    </row>
    <row r="123" spans="1:25" ht="9.9499999999999993" customHeight="1" x14ac:dyDescent="0.25">
      <c r="A123" s="549">
        <f t="shared" si="9"/>
        <v>39</v>
      </c>
      <c r="B123" s="548"/>
      <c r="C123" s="229"/>
      <c r="D123" s="229"/>
      <c r="E123" s="229"/>
      <c r="F123" s="229"/>
      <c r="G123" s="230"/>
      <c r="H123" s="590"/>
      <c r="I123" s="591"/>
      <c r="J123" s="591"/>
      <c r="K123" s="591"/>
      <c r="L123" s="591"/>
      <c r="M123" s="591"/>
      <c r="N123" s="591"/>
      <c r="O123" s="591"/>
      <c r="P123" s="591"/>
      <c r="Q123" s="591"/>
      <c r="R123" s="591"/>
      <c r="S123" s="591"/>
      <c r="T123" s="591"/>
      <c r="U123" s="591"/>
      <c r="V123" s="591"/>
      <c r="W123" s="591"/>
      <c r="X123" s="591"/>
      <c r="Y123" s="592"/>
    </row>
    <row r="124" spans="1:25" s="27" customFormat="1" ht="20.100000000000001" customHeight="1" x14ac:dyDescent="0.25">
      <c r="A124" s="550"/>
      <c r="B124" s="548"/>
      <c r="C124" s="585" t="s">
        <v>165</v>
      </c>
      <c r="D124" s="586"/>
      <c r="E124" s="195"/>
      <c r="F124" s="195"/>
      <c r="G124" s="191"/>
      <c r="H124" s="597"/>
      <c r="I124" s="598"/>
      <c r="J124" s="598"/>
      <c r="K124" s="598"/>
      <c r="L124" s="598"/>
      <c r="M124" s="598"/>
      <c r="N124" s="598"/>
      <c r="O124" s="598"/>
      <c r="P124" s="598"/>
      <c r="Q124" s="598"/>
      <c r="R124" s="598"/>
      <c r="S124" s="598"/>
      <c r="T124" s="598"/>
      <c r="U124" s="598"/>
      <c r="V124" s="598"/>
      <c r="W124" s="598"/>
      <c r="X124" s="598"/>
      <c r="Y124" s="599"/>
    </row>
    <row r="125" spans="1:25" ht="9.9499999999999993" customHeight="1" x14ac:dyDescent="0.25">
      <c r="A125" s="551"/>
      <c r="B125" s="548"/>
      <c r="C125" s="231"/>
      <c r="D125" s="231"/>
      <c r="E125" s="231"/>
      <c r="F125" s="231"/>
      <c r="G125" s="232"/>
      <c r="H125" s="593"/>
      <c r="I125" s="594"/>
      <c r="J125" s="594"/>
      <c r="K125" s="594"/>
      <c r="L125" s="594"/>
      <c r="M125" s="594"/>
      <c r="N125" s="594"/>
      <c r="O125" s="594"/>
      <c r="P125" s="594"/>
      <c r="Q125" s="594"/>
      <c r="R125" s="594"/>
      <c r="S125" s="594"/>
      <c r="T125" s="594"/>
      <c r="U125" s="594"/>
      <c r="V125" s="594"/>
      <c r="W125" s="594"/>
      <c r="X125" s="594"/>
      <c r="Y125" s="595"/>
    </row>
    <row r="126" spans="1:25" ht="9.9499999999999993" customHeight="1" x14ac:dyDescent="0.25">
      <c r="A126" s="549">
        <f t="shared" si="9"/>
        <v>40</v>
      </c>
      <c r="B126" s="548"/>
      <c r="C126" s="229"/>
      <c r="D126" s="229"/>
      <c r="E126" s="229"/>
      <c r="F126" s="229"/>
      <c r="G126" s="230"/>
      <c r="H126" s="590"/>
      <c r="I126" s="591"/>
      <c r="J126" s="591"/>
      <c r="K126" s="591"/>
      <c r="L126" s="591"/>
      <c r="M126" s="591"/>
      <c r="N126" s="591"/>
      <c r="O126" s="591"/>
      <c r="P126" s="591"/>
      <c r="Q126" s="591"/>
      <c r="R126" s="591"/>
      <c r="S126" s="591"/>
      <c r="T126" s="591"/>
      <c r="U126" s="591"/>
      <c r="V126" s="591"/>
      <c r="W126" s="591"/>
      <c r="X126" s="591"/>
      <c r="Y126" s="592"/>
    </row>
    <row r="127" spans="1:25" s="27" customFormat="1" ht="20.100000000000001" customHeight="1" x14ac:dyDescent="0.25">
      <c r="A127" s="550"/>
      <c r="B127" s="548"/>
      <c r="C127" s="585" t="s">
        <v>165</v>
      </c>
      <c r="D127" s="586"/>
      <c r="E127" s="195"/>
      <c r="F127" s="195"/>
      <c r="G127" s="191"/>
      <c r="H127" s="597"/>
      <c r="I127" s="598"/>
      <c r="J127" s="598"/>
      <c r="K127" s="598"/>
      <c r="L127" s="598"/>
      <c r="M127" s="598"/>
      <c r="N127" s="598"/>
      <c r="O127" s="598"/>
      <c r="P127" s="598"/>
      <c r="Q127" s="598"/>
      <c r="R127" s="598"/>
      <c r="S127" s="598"/>
      <c r="T127" s="598"/>
      <c r="U127" s="598"/>
      <c r="V127" s="598"/>
      <c r="W127" s="598"/>
      <c r="X127" s="598"/>
      <c r="Y127" s="599"/>
    </row>
    <row r="128" spans="1:25" ht="9.9499999999999993" customHeight="1" x14ac:dyDescent="0.25">
      <c r="A128" s="551"/>
      <c r="B128" s="548"/>
      <c r="C128" s="231"/>
      <c r="D128" s="231"/>
      <c r="E128" s="231"/>
      <c r="F128" s="231"/>
      <c r="G128" s="232"/>
      <c r="H128" s="593"/>
      <c r="I128" s="594"/>
      <c r="J128" s="594"/>
      <c r="K128" s="594"/>
      <c r="L128" s="594"/>
      <c r="M128" s="594"/>
      <c r="N128" s="594"/>
      <c r="O128" s="594"/>
      <c r="P128" s="594"/>
      <c r="Q128" s="594"/>
      <c r="R128" s="594"/>
      <c r="S128" s="594"/>
      <c r="T128" s="594"/>
      <c r="U128" s="594"/>
      <c r="V128" s="594"/>
      <c r="W128" s="594"/>
      <c r="X128" s="594"/>
      <c r="Y128" s="595"/>
    </row>
  </sheetData>
  <mergeCells count="182">
    <mergeCell ref="A123:A125"/>
    <mergeCell ref="B123:B125"/>
    <mergeCell ref="H123:Y125"/>
    <mergeCell ref="C124:D124"/>
    <mergeCell ref="A126:A128"/>
    <mergeCell ref="B126:B128"/>
    <mergeCell ref="H126:Y128"/>
    <mergeCell ref="C127:D127"/>
    <mergeCell ref="A117:A119"/>
    <mergeCell ref="B117:B119"/>
    <mergeCell ref="H117:Y119"/>
    <mergeCell ref="C118:D118"/>
    <mergeCell ref="A120:A122"/>
    <mergeCell ref="B120:B122"/>
    <mergeCell ref="H120:Y122"/>
    <mergeCell ref="C121:D121"/>
    <mergeCell ref="A111:A113"/>
    <mergeCell ref="B111:B113"/>
    <mergeCell ref="H111:Y113"/>
    <mergeCell ref="C112:D112"/>
    <mergeCell ref="A114:A116"/>
    <mergeCell ref="B114:B116"/>
    <mergeCell ref="H114:Y116"/>
    <mergeCell ref="C115:D115"/>
    <mergeCell ref="A105:A107"/>
    <mergeCell ref="B105:B107"/>
    <mergeCell ref="H105:Y107"/>
    <mergeCell ref="C106:D106"/>
    <mergeCell ref="A108:A110"/>
    <mergeCell ref="B108:B110"/>
    <mergeCell ref="H108:Y110"/>
    <mergeCell ref="C109:D109"/>
    <mergeCell ref="A99:A101"/>
    <mergeCell ref="B99:B101"/>
    <mergeCell ref="H99:Y101"/>
    <mergeCell ref="C100:D100"/>
    <mergeCell ref="A102:A104"/>
    <mergeCell ref="B102:B104"/>
    <mergeCell ref="H102:Y104"/>
    <mergeCell ref="C103:D103"/>
    <mergeCell ref="A93:A95"/>
    <mergeCell ref="B93:B95"/>
    <mergeCell ref="H93:Y95"/>
    <mergeCell ref="C94:D94"/>
    <mergeCell ref="A96:A98"/>
    <mergeCell ref="B96:B98"/>
    <mergeCell ref="H96:Y98"/>
    <mergeCell ref="C97:D97"/>
    <mergeCell ref="A87:A89"/>
    <mergeCell ref="B87:B89"/>
    <mergeCell ref="H87:Y89"/>
    <mergeCell ref="C88:D88"/>
    <mergeCell ref="A90:A92"/>
    <mergeCell ref="B90:B92"/>
    <mergeCell ref="H90:Y92"/>
    <mergeCell ref="C91:D91"/>
    <mergeCell ref="A81:A83"/>
    <mergeCell ref="B81:B83"/>
    <mergeCell ref="H81:Y83"/>
    <mergeCell ref="C82:D82"/>
    <mergeCell ref="A84:A86"/>
    <mergeCell ref="B84:B86"/>
    <mergeCell ref="H84:Y86"/>
    <mergeCell ref="C85:D85"/>
    <mergeCell ref="A75:A77"/>
    <mergeCell ref="B75:B77"/>
    <mergeCell ref="H75:Y77"/>
    <mergeCell ref="C76:D76"/>
    <mergeCell ref="A78:A80"/>
    <mergeCell ref="B78:B80"/>
    <mergeCell ref="H78:Y80"/>
    <mergeCell ref="C79:D79"/>
    <mergeCell ref="A69:A71"/>
    <mergeCell ref="B69:B71"/>
    <mergeCell ref="H69:Y71"/>
    <mergeCell ref="C70:D70"/>
    <mergeCell ref="A72:A74"/>
    <mergeCell ref="B72:B74"/>
    <mergeCell ref="H72:Y74"/>
    <mergeCell ref="C73:D73"/>
    <mergeCell ref="A63:A65"/>
    <mergeCell ref="B63:B65"/>
    <mergeCell ref="H63:Y65"/>
    <mergeCell ref="C64:D64"/>
    <mergeCell ref="A66:A68"/>
    <mergeCell ref="B66:B68"/>
    <mergeCell ref="H66:Y68"/>
    <mergeCell ref="C67:D67"/>
    <mergeCell ref="A57:A59"/>
    <mergeCell ref="B57:B59"/>
    <mergeCell ref="H57:Y59"/>
    <mergeCell ref="C58:D58"/>
    <mergeCell ref="A60:A62"/>
    <mergeCell ref="B60:B62"/>
    <mergeCell ref="H60:Y62"/>
    <mergeCell ref="C61:D61"/>
    <mergeCell ref="A51:A53"/>
    <mergeCell ref="B51:B53"/>
    <mergeCell ref="H51:Y53"/>
    <mergeCell ref="C52:D52"/>
    <mergeCell ref="A54:A56"/>
    <mergeCell ref="B54:B56"/>
    <mergeCell ref="H54:Y56"/>
    <mergeCell ref="C55:D55"/>
    <mergeCell ref="A45:A47"/>
    <mergeCell ref="B45:B47"/>
    <mergeCell ref="H45:Y47"/>
    <mergeCell ref="C46:D46"/>
    <mergeCell ref="A48:A50"/>
    <mergeCell ref="B48:B50"/>
    <mergeCell ref="H48:Y50"/>
    <mergeCell ref="C49:D49"/>
    <mergeCell ref="A39:A41"/>
    <mergeCell ref="B39:B41"/>
    <mergeCell ref="H39:Y41"/>
    <mergeCell ref="C40:D40"/>
    <mergeCell ref="A42:A44"/>
    <mergeCell ref="B42:B44"/>
    <mergeCell ref="H42:Y44"/>
    <mergeCell ref="C43:D43"/>
    <mergeCell ref="A33:A35"/>
    <mergeCell ref="B33:B35"/>
    <mergeCell ref="H33:Y35"/>
    <mergeCell ref="C34:D34"/>
    <mergeCell ref="A36:A38"/>
    <mergeCell ref="B36:B38"/>
    <mergeCell ref="H36:Y38"/>
    <mergeCell ref="C37:D37"/>
    <mergeCell ref="A27:A29"/>
    <mergeCell ref="B27:B29"/>
    <mergeCell ref="H27:Y29"/>
    <mergeCell ref="C28:D28"/>
    <mergeCell ref="A30:A32"/>
    <mergeCell ref="B30:B32"/>
    <mergeCell ref="H30:Y32"/>
    <mergeCell ref="C31:D31"/>
    <mergeCell ref="A21:A23"/>
    <mergeCell ref="B21:B23"/>
    <mergeCell ref="H21:Y23"/>
    <mergeCell ref="C22:D22"/>
    <mergeCell ref="A24:A26"/>
    <mergeCell ref="B24:B26"/>
    <mergeCell ref="H24:Y26"/>
    <mergeCell ref="C25:D25"/>
    <mergeCell ref="A15:A17"/>
    <mergeCell ref="B15:B17"/>
    <mergeCell ref="H15:Y17"/>
    <mergeCell ref="C16:D16"/>
    <mergeCell ref="A18:A20"/>
    <mergeCell ref="B18:B20"/>
    <mergeCell ref="H18:Y20"/>
    <mergeCell ref="C19:D19"/>
    <mergeCell ref="A9:A11"/>
    <mergeCell ref="B9:B11"/>
    <mergeCell ref="H9:Y11"/>
    <mergeCell ref="C10:D10"/>
    <mergeCell ref="A12:A14"/>
    <mergeCell ref="B12:B14"/>
    <mergeCell ref="H12:Y14"/>
    <mergeCell ref="C13:D13"/>
    <mergeCell ref="W5:Y5"/>
    <mergeCell ref="A7:A8"/>
    <mergeCell ref="B7:B8"/>
    <mergeCell ref="C7:G7"/>
    <mergeCell ref="H7:Y8"/>
    <mergeCell ref="C8:G8"/>
    <mergeCell ref="A5:B5"/>
    <mergeCell ref="C5:K5"/>
    <mergeCell ref="M5:P5"/>
    <mergeCell ref="Q5:R5"/>
    <mergeCell ref="S5:T5"/>
    <mergeCell ref="U5:V5"/>
    <mergeCell ref="A1:O1"/>
    <mergeCell ref="Q1:Y2"/>
    <mergeCell ref="A2:O2"/>
    <mergeCell ref="A4:B4"/>
    <mergeCell ref="C4:K4"/>
    <mergeCell ref="M4:P4"/>
    <mergeCell ref="Q4:R4"/>
    <mergeCell ref="S4:T4"/>
    <mergeCell ref="U4:V4"/>
    <mergeCell ref="W4:Y4"/>
  </mergeCells>
  <pageMargins left="0.39370078740157483" right="0.39370078740157483" top="0.39370078740157483" bottom="0.78740157480314965" header="0" footer="0.39370078740157483"/>
  <pageSetup paperSize="9" orientation="landscape" horizontalDpi="300" r:id="rId1"/>
  <headerFooter>
    <oddFooter>Страница  &amp;P из &amp;N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28"/>
  <sheetViews>
    <sheetView view="pageBreakPreview" zoomScaleSheetLayoutView="100" workbookViewId="0">
      <selection sqref="A1:O1"/>
    </sheetView>
  </sheetViews>
  <sheetFormatPr defaultColWidth="9.140625" defaultRowHeight="15" x14ac:dyDescent="0.25"/>
  <cols>
    <col min="1" max="1" width="5.7109375" style="14" customWidth="1"/>
    <col min="2" max="2" width="10.7109375" style="14" customWidth="1"/>
    <col min="3" max="3" width="15.7109375" style="14" customWidth="1"/>
    <col min="4" max="4" width="0.85546875" style="14" customWidth="1"/>
    <col min="5" max="6" width="3.28515625" style="14" customWidth="1"/>
    <col min="7" max="7" width="0.85546875" style="14" customWidth="1"/>
    <col min="8" max="8" width="15.7109375" style="14" customWidth="1"/>
    <col min="9" max="9" width="0.85546875" style="14" customWidth="1"/>
    <col min="10" max="11" width="3.28515625" style="14" customWidth="1"/>
    <col min="12" max="12" width="0.85546875" style="14" customWidth="1"/>
    <col min="13" max="25" width="5.7109375" style="14" customWidth="1"/>
    <col min="26" max="16384" width="9.140625" style="14"/>
  </cols>
  <sheetData>
    <row r="1" spans="1:28" ht="21" customHeight="1" x14ac:dyDescent="0.25">
      <c r="A1" s="566" t="str">
        <f>НазваниеПолное</f>
        <v>Ралли "Skoda Rally Weekend - 2017"</v>
      </c>
      <c r="B1" s="567"/>
      <c r="C1" s="567"/>
      <c r="D1" s="567"/>
      <c r="E1" s="567"/>
      <c r="F1" s="567"/>
      <c r="G1" s="567"/>
      <c r="H1" s="567"/>
      <c r="I1" s="567"/>
      <c r="J1" s="567"/>
      <c r="K1" s="567"/>
      <c r="L1" s="567"/>
      <c r="M1" s="567"/>
      <c r="N1" s="567"/>
      <c r="O1" s="568"/>
      <c r="P1" s="193"/>
      <c r="Q1" s="600" t="str">
        <f ca="1">INDIRECT(ADDRESS($AB$1,1,,,"Общее"))</f>
        <v>КВ-3 Родник / ДС-3 РД Старт</v>
      </c>
      <c r="R1" s="600"/>
      <c r="S1" s="600"/>
      <c r="T1" s="600"/>
      <c r="U1" s="600"/>
      <c r="V1" s="600"/>
      <c r="W1" s="600"/>
      <c r="X1" s="600"/>
      <c r="Y1" s="600"/>
      <c r="AA1" s="14" t="s">
        <v>153</v>
      </c>
      <c r="AB1" s="14">
        <v>21</v>
      </c>
    </row>
    <row r="2" spans="1:28" ht="21" customHeight="1" x14ac:dyDescent="0.25">
      <c r="A2" s="570" t="s">
        <v>11</v>
      </c>
      <c r="B2" s="571"/>
      <c r="C2" s="571"/>
      <c r="D2" s="571"/>
      <c r="E2" s="571"/>
      <c r="F2" s="571"/>
      <c r="G2" s="571"/>
      <c r="H2" s="571"/>
      <c r="I2" s="571"/>
      <c r="J2" s="571"/>
      <c r="K2" s="571"/>
      <c r="L2" s="571"/>
      <c r="M2" s="571"/>
      <c r="N2" s="571"/>
      <c r="O2" s="572"/>
      <c r="P2" s="192"/>
      <c r="Q2" s="600"/>
      <c r="R2" s="600"/>
      <c r="S2" s="600"/>
      <c r="T2" s="600"/>
      <c r="U2" s="600"/>
      <c r="V2" s="600"/>
      <c r="W2" s="600"/>
      <c r="X2" s="600"/>
      <c r="Y2" s="600"/>
    </row>
    <row r="3" spans="1:28" ht="2.1" customHeight="1" x14ac:dyDescent="0.25">
      <c r="A3" s="18"/>
      <c r="B3" s="18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2"/>
      <c r="N3" s="182"/>
      <c r="O3" s="182"/>
      <c r="P3" s="182"/>
    </row>
    <row r="4" spans="1:28" ht="20.100000000000001" customHeight="1" x14ac:dyDescent="0.25">
      <c r="A4" s="548" t="s">
        <v>12</v>
      </c>
      <c r="B4" s="548"/>
      <c r="C4" s="573" t="str">
        <f ca="1">INDIRECT(ADDRESS($AB$1,12,,,"Общее"))</f>
        <v>Курилин+</v>
      </c>
      <c r="D4" s="573"/>
      <c r="E4" s="573"/>
      <c r="F4" s="573"/>
      <c r="G4" s="573"/>
      <c r="H4" s="573"/>
      <c r="I4" s="573"/>
      <c r="J4" s="573"/>
      <c r="K4" s="573"/>
      <c r="M4" s="548" t="s">
        <v>268</v>
      </c>
      <c r="N4" s="548"/>
      <c r="O4" s="548"/>
      <c r="P4" s="548"/>
      <c r="Q4" s="548" t="s">
        <v>136</v>
      </c>
      <c r="R4" s="548"/>
      <c r="S4" s="554">
        <f ca="1">INDIRECT(ADDRESS($AB$1,9,,,"Общее"))</f>
        <v>0.5541673759709318</v>
      </c>
      <c r="T4" s="554"/>
      <c r="U4" s="548" t="s">
        <v>135</v>
      </c>
      <c r="V4" s="548"/>
      <c r="W4" s="552" t="s">
        <v>164</v>
      </c>
      <c r="X4" s="552"/>
      <c r="Y4" s="552"/>
    </row>
    <row r="5" spans="1:28" ht="20.100000000000001" customHeight="1" x14ac:dyDescent="0.25">
      <c r="A5" s="548" t="s">
        <v>13</v>
      </c>
      <c r="B5" s="548"/>
      <c r="C5" s="548"/>
      <c r="D5" s="548"/>
      <c r="E5" s="548"/>
      <c r="F5" s="548"/>
      <c r="G5" s="548"/>
      <c r="H5" s="548"/>
      <c r="I5" s="548"/>
      <c r="J5" s="548"/>
      <c r="K5" s="548"/>
      <c r="M5" s="548" t="s">
        <v>269</v>
      </c>
      <c r="N5" s="548"/>
      <c r="O5" s="548"/>
      <c r="P5" s="548"/>
      <c r="Q5" s="548" t="s">
        <v>136</v>
      </c>
      <c r="R5" s="548"/>
      <c r="S5" s="554">
        <f ca="1">INDIRECT(ADDRESS($AB$1,11,,,"Общее"))</f>
        <v>0.60972293152648727</v>
      </c>
      <c r="T5" s="554"/>
      <c r="U5" s="548" t="s">
        <v>135</v>
      </c>
      <c r="V5" s="548"/>
      <c r="W5" s="552" t="s">
        <v>164</v>
      </c>
      <c r="X5" s="552"/>
      <c r="Y5" s="552"/>
    </row>
    <row r="6" spans="1:28" ht="2.1" customHeight="1" x14ac:dyDescent="0.25">
      <c r="A6" s="180"/>
      <c r="B6" s="180"/>
      <c r="C6" s="60"/>
      <c r="D6" s="60"/>
      <c r="E6" s="180"/>
      <c r="F6" s="180"/>
      <c r="G6" s="180"/>
      <c r="H6" s="60"/>
      <c r="I6" s="60"/>
      <c r="J6" s="180"/>
      <c r="K6" s="180"/>
      <c r="L6" s="180"/>
      <c r="M6" s="214"/>
      <c r="N6" s="214"/>
      <c r="O6" s="214"/>
      <c r="P6" s="214"/>
    </row>
    <row r="7" spans="1:28" ht="20.100000000000001" customHeight="1" x14ac:dyDescent="0.25">
      <c r="A7" s="553"/>
      <c r="B7" s="548" t="s">
        <v>0</v>
      </c>
      <c r="C7" s="587" t="s">
        <v>62</v>
      </c>
      <c r="D7" s="588"/>
      <c r="E7" s="588"/>
      <c r="F7" s="588"/>
      <c r="G7" s="589"/>
      <c r="H7" s="587" t="s">
        <v>37</v>
      </c>
      <c r="I7" s="588"/>
      <c r="J7" s="588"/>
      <c r="K7" s="588"/>
      <c r="L7" s="589"/>
      <c r="M7" s="590" t="s">
        <v>80</v>
      </c>
      <c r="N7" s="591"/>
      <c r="O7" s="591"/>
      <c r="P7" s="591"/>
      <c r="Q7" s="591"/>
      <c r="R7" s="591"/>
      <c r="S7" s="591"/>
      <c r="T7" s="591"/>
      <c r="U7" s="591"/>
      <c r="V7" s="591"/>
      <c r="W7" s="591"/>
      <c r="X7" s="591"/>
      <c r="Y7" s="592"/>
      <c r="AA7" s="14" t="s">
        <v>267</v>
      </c>
    </row>
    <row r="8" spans="1:28" ht="20.100000000000001" customHeight="1" x14ac:dyDescent="0.25">
      <c r="A8" s="553"/>
      <c r="B8" s="548"/>
      <c r="C8" s="587" t="s">
        <v>270</v>
      </c>
      <c r="D8" s="588"/>
      <c r="E8" s="588"/>
      <c r="F8" s="588"/>
      <c r="G8" s="589"/>
      <c r="H8" s="587" t="s">
        <v>270</v>
      </c>
      <c r="I8" s="588"/>
      <c r="J8" s="588"/>
      <c r="K8" s="588"/>
      <c r="L8" s="589"/>
      <c r="M8" s="593"/>
      <c r="N8" s="594"/>
      <c r="O8" s="594"/>
      <c r="P8" s="594"/>
      <c r="Q8" s="594"/>
      <c r="R8" s="594"/>
      <c r="S8" s="594"/>
      <c r="T8" s="594"/>
      <c r="U8" s="594"/>
      <c r="V8" s="594"/>
      <c r="W8" s="594"/>
      <c r="X8" s="594"/>
      <c r="Y8" s="595"/>
    </row>
    <row r="9" spans="1:28" ht="9.9499999999999993" customHeight="1" x14ac:dyDescent="0.25">
      <c r="A9" s="549">
        <v>1</v>
      </c>
      <c r="B9" s="548"/>
      <c r="C9" s="215"/>
      <c r="D9" s="215"/>
      <c r="E9" s="215"/>
      <c r="F9" s="215"/>
      <c r="G9" s="216"/>
      <c r="H9" s="215"/>
      <c r="I9" s="215"/>
      <c r="J9" s="215"/>
      <c r="K9" s="215"/>
      <c r="L9" s="216"/>
      <c r="M9" s="590"/>
      <c r="N9" s="591"/>
      <c r="O9" s="591"/>
      <c r="P9" s="591"/>
      <c r="Q9" s="591"/>
      <c r="R9" s="591"/>
      <c r="S9" s="591"/>
      <c r="T9" s="591"/>
      <c r="U9" s="591"/>
      <c r="V9" s="591"/>
      <c r="W9" s="591"/>
      <c r="X9" s="591"/>
      <c r="Y9" s="592"/>
    </row>
    <row r="10" spans="1:28" s="27" customFormat="1" ht="20.100000000000001" customHeight="1" x14ac:dyDescent="0.25">
      <c r="A10" s="550"/>
      <c r="B10" s="548"/>
      <c r="C10" s="585" t="s">
        <v>165</v>
      </c>
      <c r="D10" s="586"/>
      <c r="E10" s="195"/>
      <c r="F10" s="195"/>
      <c r="G10" s="191"/>
      <c r="H10" s="585" t="s">
        <v>165</v>
      </c>
      <c r="I10" s="586"/>
      <c r="J10" s="195"/>
      <c r="K10" s="195"/>
      <c r="L10" s="191"/>
      <c r="M10" s="597"/>
      <c r="N10" s="598"/>
      <c r="O10" s="598"/>
      <c r="P10" s="598"/>
      <c r="Q10" s="598"/>
      <c r="R10" s="598"/>
      <c r="S10" s="598"/>
      <c r="T10" s="598"/>
      <c r="U10" s="598"/>
      <c r="V10" s="598"/>
      <c r="W10" s="598"/>
      <c r="X10" s="598"/>
      <c r="Y10" s="599"/>
    </row>
    <row r="11" spans="1:28" ht="9.9499999999999993" customHeight="1" x14ac:dyDescent="0.25">
      <c r="A11" s="551"/>
      <c r="B11" s="548"/>
      <c r="C11" s="217"/>
      <c r="D11" s="217"/>
      <c r="E11" s="217"/>
      <c r="F11" s="217"/>
      <c r="G11" s="218"/>
      <c r="H11" s="217"/>
      <c r="I11" s="217"/>
      <c r="J11" s="217"/>
      <c r="K11" s="217"/>
      <c r="L11" s="218"/>
      <c r="M11" s="593"/>
      <c r="N11" s="594"/>
      <c r="O11" s="594"/>
      <c r="P11" s="594"/>
      <c r="Q11" s="594"/>
      <c r="R11" s="594"/>
      <c r="S11" s="594"/>
      <c r="T11" s="594"/>
      <c r="U11" s="594"/>
      <c r="V11" s="594"/>
      <c r="W11" s="594"/>
      <c r="X11" s="594"/>
      <c r="Y11" s="595"/>
    </row>
    <row r="12" spans="1:28" ht="9.9499999999999993" customHeight="1" x14ac:dyDescent="0.25">
      <c r="A12" s="549">
        <f>1+A9</f>
        <v>2</v>
      </c>
      <c r="B12" s="548"/>
      <c r="C12" s="215"/>
      <c r="D12" s="215"/>
      <c r="E12" s="215"/>
      <c r="F12" s="215"/>
      <c r="G12" s="216"/>
      <c r="H12" s="215"/>
      <c r="I12" s="215"/>
      <c r="J12" s="215"/>
      <c r="K12" s="215"/>
      <c r="L12" s="216"/>
      <c r="M12" s="590"/>
      <c r="N12" s="591"/>
      <c r="O12" s="591"/>
      <c r="P12" s="591"/>
      <c r="Q12" s="591"/>
      <c r="R12" s="591"/>
      <c r="S12" s="591"/>
      <c r="T12" s="591"/>
      <c r="U12" s="591"/>
      <c r="V12" s="591"/>
      <c r="W12" s="591"/>
      <c r="X12" s="591"/>
      <c r="Y12" s="592"/>
    </row>
    <row r="13" spans="1:28" s="27" customFormat="1" ht="20.100000000000001" customHeight="1" x14ac:dyDescent="0.25">
      <c r="A13" s="550"/>
      <c r="B13" s="548"/>
      <c r="C13" s="585" t="s">
        <v>165</v>
      </c>
      <c r="D13" s="586"/>
      <c r="E13" s="195"/>
      <c r="F13" s="195"/>
      <c r="G13" s="191"/>
      <c r="H13" s="585" t="s">
        <v>165</v>
      </c>
      <c r="I13" s="586"/>
      <c r="J13" s="195"/>
      <c r="K13" s="195"/>
      <c r="L13" s="191"/>
      <c r="M13" s="597"/>
      <c r="N13" s="598"/>
      <c r="O13" s="598"/>
      <c r="P13" s="598"/>
      <c r="Q13" s="598"/>
      <c r="R13" s="598"/>
      <c r="S13" s="598"/>
      <c r="T13" s="598"/>
      <c r="U13" s="598"/>
      <c r="V13" s="598"/>
      <c r="W13" s="598"/>
      <c r="X13" s="598"/>
      <c r="Y13" s="599"/>
    </row>
    <row r="14" spans="1:28" ht="9.9499999999999993" customHeight="1" x14ac:dyDescent="0.25">
      <c r="A14" s="551"/>
      <c r="B14" s="548"/>
      <c r="C14" s="217"/>
      <c r="D14" s="217"/>
      <c r="E14" s="217"/>
      <c r="F14" s="217"/>
      <c r="G14" s="218"/>
      <c r="H14" s="217"/>
      <c r="I14" s="217"/>
      <c r="J14" s="217"/>
      <c r="K14" s="217"/>
      <c r="L14" s="218"/>
      <c r="M14" s="593"/>
      <c r="N14" s="594"/>
      <c r="O14" s="594"/>
      <c r="P14" s="594"/>
      <c r="Q14" s="594"/>
      <c r="R14" s="594"/>
      <c r="S14" s="594"/>
      <c r="T14" s="594"/>
      <c r="U14" s="594"/>
      <c r="V14" s="594"/>
      <c r="W14" s="594"/>
      <c r="X14" s="594"/>
      <c r="Y14" s="595"/>
    </row>
    <row r="15" spans="1:28" ht="9.9499999999999993" customHeight="1" x14ac:dyDescent="0.25">
      <c r="A15" s="549">
        <f>1+A12</f>
        <v>3</v>
      </c>
      <c r="B15" s="548"/>
      <c r="C15" s="215"/>
      <c r="D15" s="215"/>
      <c r="E15" s="215"/>
      <c r="F15" s="215"/>
      <c r="G15" s="216"/>
      <c r="H15" s="215"/>
      <c r="I15" s="215"/>
      <c r="J15" s="215"/>
      <c r="K15" s="215"/>
      <c r="L15" s="216"/>
      <c r="M15" s="590"/>
      <c r="N15" s="591"/>
      <c r="O15" s="591"/>
      <c r="P15" s="591"/>
      <c r="Q15" s="591"/>
      <c r="R15" s="591"/>
      <c r="S15" s="591"/>
      <c r="T15" s="591"/>
      <c r="U15" s="591"/>
      <c r="V15" s="591"/>
      <c r="W15" s="591"/>
      <c r="X15" s="591"/>
      <c r="Y15" s="592"/>
    </row>
    <row r="16" spans="1:28" s="27" customFormat="1" ht="20.100000000000001" customHeight="1" x14ac:dyDescent="0.25">
      <c r="A16" s="550"/>
      <c r="B16" s="548"/>
      <c r="C16" s="585" t="s">
        <v>165</v>
      </c>
      <c r="D16" s="586"/>
      <c r="E16" s="195"/>
      <c r="F16" s="195"/>
      <c r="G16" s="191"/>
      <c r="H16" s="585" t="s">
        <v>165</v>
      </c>
      <c r="I16" s="586"/>
      <c r="J16" s="195"/>
      <c r="K16" s="195"/>
      <c r="L16" s="191"/>
      <c r="M16" s="597"/>
      <c r="N16" s="598"/>
      <c r="O16" s="598"/>
      <c r="P16" s="598"/>
      <c r="Q16" s="598"/>
      <c r="R16" s="598"/>
      <c r="S16" s="598"/>
      <c r="T16" s="598"/>
      <c r="U16" s="598"/>
      <c r="V16" s="598"/>
      <c r="W16" s="598"/>
      <c r="X16" s="598"/>
      <c r="Y16" s="599"/>
    </row>
    <row r="17" spans="1:25" ht="9.9499999999999993" customHeight="1" x14ac:dyDescent="0.25">
      <c r="A17" s="551"/>
      <c r="B17" s="548"/>
      <c r="C17" s="217"/>
      <c r="D17" s="217"/>
      <c r="E17" s="217"/>
      <c r="F17" s="217"/>
      <c r="G17" s="218"/>
      <c r="H17" s="217"/>
      <c r="I17" s="217"/>
      <c r="J17" s="217"/>
      <c r="K17" s="217"/>
      <c r="L17" s="218"/>
      <c r="M17" s="593"/>
      <c r="N17" s="594"/>
      <c r="O17" s="594"/>
      <c r="P17" s="594"/>
      <c r="Q17" s="594"/>
      <c r="R17" s="594"/>
      <c r="S17" s="594"/>
      <c r="T17" s="594"/>
      <c r="U17" s="594"/>
      <c r="V17" s="594"/>
      <c r="W17" s="594"/>
      <c r="X17" s="594"/>
      <c r="Y17" s="595"/>
    </row>
    <row r="18" spans="1:25" ht="9.9499999999999993" customHeight="1" x14ac:dyDescent="0.25">
      <c r="A18" s="549">
        <f t="shared" ref="A18" si="0">1+A15</f>
        <v>4</v>
      </c>
      <c r="B18" s="548"/>
      <c r="C18" s="215"/>
      <c r="D18" s="215"/>
      <c r="E18" s="215"/>
      <c r="F18" s="215"/>
      <c r="G18" s="216"/>
      <c r="H18" s="215"/>
      <c r="I18" s="215"/>
      <c r="J18" s="215"/>
      <c r="K18" s="215"/>
      <c r="L18" s="216"/>
      <c r="M18" s="590"/>
      <c r="N18" s="591"/>
      <c r="O18" s="591"/>
      <c r="P18" s="591"/>
      <c r="Q18" s="591"/>
      <c r="R18" s="591"/>
      <c r="S18" s="591"/>
      <c r="T18" s="591"/>
      <c r="U18" s="591"/>
      <c r="V18" s="591"/>
      <c r="W18" s="591"/>
      <c r="X18" s="591"/>
      <c r="Y18" s="592"/>
    </row>
    <row r="19" spans="1:25" s="27" customFormat="1" ht="20.100000000000001" customHeight="1" x14ac:dyDescent="0.25">
      <c r="A19" s="550"/>
      <c r="B19" s="548"/>
      <c r="C19" s="585" t="s">
        <v>165</v>
      </c>
      <c r="D19" s="586"/>
      <c r="E19" s="195"/>
      <c r="F19" s="195"/>
      <c r="G19" s="191"/>
      <c r="H19" s="585" t="s">
        <v>165</v>
      </c>
      <c r="I19" s="586"/>
      <c r="J19" s="195"/>
      <c r="K19" s="195"/>
      <c r="L19" s="191"/>
      <c r="M19" s="597"/>
      <c r="N19" s="598"/>
      <c r="O19" s="598"/>
      <c r="P19" s="598"/>
      <c r="Q19" s="598"/>
      <c r="R19" s="598"/>
      <c r="S19" s="598"/>
      <c r="T19" s="598"/>
      <c r="U19" s="598"/>
      <c r="V19" s="598"/>
      <c r="W19" s="598"/>
      <c r="X19" s="598"/>
      <c r="Y19" s="599"/>
    </row>
    <row r="20" spans="1:25" ht="9.9499999999999993" customHeight="1" x14ac:dyDescent="0.25">
      <c r="A20" s="551"/>
      <c r="B20" s="548"/>
      <c r="C20" s="217"/>
      <c r="D20" s="217"/>
      <c r="E20" s="217"/>
      <c r="F20" s="217"/>
      <c r="G20" s="218"/>
      <c r="H20" s="217"/>
      <c r="I20" s="217"/>
      <c r="J20" s="217"/>
      <c r="K20" s="217"/>
      <c r="L20" s="218"/>
      <c r="M20" s="593"/>
      <c r="N20" s="594"/>
      <c r="O20" s="594"/>
      <c r="P20" s="594"/>
      <c r="Q20" s="594"/>
      <c r="R20" s="594"/>
      <c r="S20" s="594"/>
      <c r="T20" s="594"/>
      <c r="U20" s="594"/>
      <c r="V20" s="594"/>
      <c r="W20" s="594"/>
      <c r="X20" s="594"/>
      <c r="Y20" s="595"/>
    </row>
    <row r="21" spans="1:25" ht="9.9499999999999993" customHeight="1" x14ac:dyDescent="0.25">
      <c r="A21" s="549">
        <f t="shared" ref="A21" si="1">1+A18</f>
        <v>5</v>
      </c>
      <c r="B21" s="548"/>
      <c r="C21" s="215"/>
      <c r="D21" s="215"/>
      <c r="E21" s="215"/>
      <c r="F21" s="215"/>
      <c r="G21" s="216"/>
      <c r="H21" s="215"/>
      <c r="I21" s="215"/>
      <c r="J21" s="215"/>
      <c r="K21" s="215"/>
      <c r="L21" s="216"/>
      <c r="M21" s="590"/>
      <c r="N21" s="591"/>
      <c r="O21" s="591"/>
      <c r="P21" s="591"/>
      <c r="Q21" s="591"/>
      <c r="R21" s="591"/>
      <c r="S21" s="591"/>
      <c r="T21" s="591"/>
      <c r="U21" s="591"/>
      <c r="V21" s="591"/>
      <c r="W21" s="591"/>
      <c r="X21" s="591"/>
      <c r="Y21" s="592"/>
    </row>
    <row r="22" spans="1:25" s="27" customFormat="1" ht="20.100000000000001" customHeight="1" x14ac:dyDescent="0.25">
      <c r="A22" s="550"/>
      <c r="B22" s="548"/>
      <c r="C22" s="585" t="s">
        <v>165</v>
      </c>
      <c r="D22" s="586"/>
      <c r="E22" s="195"/>
      <c r="F22" s="195"/>
      <c r="G22" s="191"/>
      <c r="H22" s="585" t="s">
        <v>165</v>
      </c>
      <c r="I22" s="586"/>
      <c r="J22" s="195"/>
      <c r="K22" s="195"/>
      <c r="L22" s="191"/>
      <c r="M22" s="597"/>
      <c r="N22" s="598"/>
      <c r="O22" s="598"/>
      <c r="P22" s="598"/>
      <c r="Q22" s="598"/>
      <c r="R22" s="598"/>
      <c r="S22" s="598"/>
      <c r="T22" s="598"/>
      <c r="U22" s="598"/>
      <c r="V22" s="598"/>
      <c r="W22" s="598"/>
      <c r="X22" s="598"/>
      <c r="Y22" s="599"/>
    </row>
    <row r="23" spans="1:25" ht="9.9499999999999993" customHeight="1" x14ac:dyDescent="0.25">
      <c r="A23" s="551"/>
      <c r="B23" s="548"/>
      <c r="C23" s="217"/>
      <c r="D23" s="217"/>
      <c r="E23" s="217"/>
      <c r="F23" s="217"/>
      <c r="G23" s="218"/>
      <c r="H23" s="217"/>
      <c r="I23" s="217"/>
      <c r="J23" s="217"/>
      <c r="K23" s="217"/>
      <c r="L23" s="218"/>
      <c r="M23" s="593"/>
      <c r="N23" s="594"/>
      <c r="O23" s="594"/>
      <c r="P23" s="594"/>
      <c r="Q23" s="594"/>
      <c r="R23" s="594"/>
      <c r="S23" s="594"/>
      <c r="T23" s="594"/>
      <c r="U23" s="594"/>
      <c r="V23" s="594"/>
      <c r="W23" s="594"/>
      <c r="X23" s="594"/>
      <c r="Y23" s="595"/>
    </row>
    <row r="24" spans="1:25" ht="9.9499999999999993" customHeight="1" x14ac:dyDescent="0.25">
      <c r="A24" s="549">
        <f t="shared" ref="A24" si="2">1+A21</f>
        <v>6</v>
      </c>
      <c r="B24" s="548"/>
      <c r="C24" s="215"/>
      <c r="D24" s="215"/>
      <c r="E24" s="215"/>
      <c r="F24" s="215"/>
      <c r="G24" s="216"/>
      <c r="H24" s="215"/>
      <c r="I24" s="215"/>
      <c r="J24" s="215"/>
      <c r="K24" s="215"/>
      <c r="L24" s="216"/>
      <c r="M24" s="590"/>
      <c r="N24" s="591"/>
      <c r="O24" s="591"/>
      <c r="P24" s="591"/>
      <c r="Q24" s="591"/>
      <c r="R24" s="591"/>
      <c r="S24" s="591"/>
      <c r="T24" s="591"/>
      <c r="U24" s="591"/>
      <c r="V24" s="591"/>
      <c r="W24" s="591"/>
      <c r="X24" s="591"/>
      <c r="Y24" s="592"/>
    </row>
    <row r="25" spans="1:25" s="27" customFormat="1" ht="20.100000000000001" customHeight="1" x14ac:dyDescent="0.25">
      <c r="A25" s="550"/>
      <c r="B25" s="548"/>
      <c r="C25" s="585" t="s">
        <v>165</v>
      </c>
      <c r="D25" s="586"/>
      <c r="E25" s="195"/>
      <c r="F25" s="195"/>
      <c r="G25" s="191"/>
      <c r="H25" s="585" t="s">
        <v>165</v>
      </c>
      <c r="I25" s="586"/>
      <c r="J25" s="195"/>
      <c r="K25" s="195"/>
      <c r="L25" s="191"/>
      <c r="M25" s="597"/>
      <c r="N25" s="598"/>
      <c r="O25" s="598"/>
      <c r="P25" s="598"/>
      <c r="Q25" s="598"/>
      <c r="R25" s="598"/>
      <c r="S25" s="598"/>
      <c r="T25" s="598"/>
      <c r="U25" s="598"/>
      <c r="V25" s="598"/>
      <c r="W25" s="598"/>
      <c r="X25" s="598"/>
      <c r="Y25" s="599"/>
    </row>
    <row r="26" spans="1:25" ht="9.9499999999999993" customHeight="1" x14ac:dyDescent="0.25">
      <c r="A26" s="551"/>
      <c r="B26" s="548"/>
      <c r="C26" s="217"/>
      <c r="D26" s="217"/>
      <c r="E26" s="217"/>
      <c r="F26" s="217"/>
      <c r="G26" s="218"/>
      <c r="H26" s="217"/>
      <c r="I26" s="217"/>
      <c r="J26" s="217"/>
      <c r="K26" s="217"/>
      <c r="L26" s="218"/>
      <c r="M26" s="593"/>
      <c r="N26" s="594"/>
      <c r="O26" s="594"/>
      <c r="P26" s="594"/>
      <c r="Q26" s="594"/>
      <c r="R26" s="594"/>
      <c r="S26" s="594"/>
      <c r="T26" s="594"/>
      <c r="U26" s="594"/>
      <c r="V26" s="594"/>
      <c r="W26" s="594"/>
      <c r="X26" s="594"/>
      <c r="Y26" s="595"/>
    </row>
    <row r="27" spans="1:25" ht="9.9499999999999993" customHeight="1" x14ac:dyDescent="0.25">
      <c r="A27" s="549">
        <f t="shared" ref="A27" si="3">1+A24</f>
        <v>7</v>
      </c>
      <c r="B27" s="548"/>
      <c r="C27" s="215"/>
      <c r="D27" s="215"/>
      <c r="E27" s="215"/>
      <c r="F27" s="215"/>
      <c r="G27" s="216"/>
      <c r="H27" s="215"/>
      <c r="I27" s="215"/>
      <c r="J27" s="215"/>
      <c r="K27" s="215"/>
      <c r="L27" s="216"/>
      <c r="M27" s="590"/>
      <c r="N27" s="591"/>
      <c r="O27" s="591"/>
      <c r="P27" s="591"/>
      <c r="Q27" s="591"/>
      <c r="R27" s="591"/>
      <c r="S27" s="591"/>
      <c r="T27" s="591"/>
      <c r="U27" s="591"/>
      <c r="V27" s="591"/>
      <c r="W27" s="591"/>
      <c r="X27" s="591"/>
      <c r="Y27" s="592"/>
    </row>
    <row r="28" spans="1:25" s="27" customFormat="1" ht="20.100000000000001" customHeight="1" x14ac:dyDescent="0.25">
      <c r="A28" s="550"/>
      <c r="B28" s="548"/>
      <c r="C28" s="585" t="s">
        <v>165</v>
      </c>
      <c r="D28" s="586"/>
      <c r="E28" s="195"/>
      <c r="F28" s="195"/>
      <c r="G28" s="191"/>
      <c r="H28" s="585" t="s">
        <v>165</v>
      </c>
      <c r="I28" s="586"/>
      <c r="J28" s="195"/>
      <c r="K28" s="195"/>
      <c r="L28" s="191"/>
      <c r="M28" s="597"/>
      <c r="N28" s="598"/>
      <c r="O28" s="598"/>
      <c r="P28" s="598"/>
      <c r="Q28" s="598"/>
      <c r="R28" s="598"/>
      <c r="S28" s="598"/>
      <c r="T28" s="598"/>
      <c r="U28" s="598"/>
      <c r="V28" s="598"/>
      <c r="W28" s="598"/>
      <c r="X28" s="598"/>
      <c r="Y28" s="599"/>
    </row>
    <row r="29" spans="1:25" ht="9.9499999999999993" customHeight="1" x14ac:dyDescent="0.25">
      <c r="A29" s="551"/>
      <c r="B29" s="548"/>
      <c r="C29" s="217"/>
      <c r="D29" s="217"/>
      <c r="E29" s="217"/>
      <c r="F29" s="217"/>
      <c r="G29" s="218"/>
      <c r="H29" s="217"/>
      <c r="I29" s="217"/>
      <c r="J29" s="217"/>
      <c r="K29" s="217"/>
      <c r="L29" s="218"/>
      <c r="M29" s="593"/>
      <c r="N29" s="594"/>
      <c r="O29" s="594"/>
      <c r="P29" s="594"/>
      <c r="Q29" s="594"/>
      <c r="R29" s="594"/>
      <c r="S29" s="594"/>
      <c r="T29" s="594"/>
      <c r="U29" s="594"/>
      <c r="V29" s="594"/>
      <c r="W29" s="594"/>
      <c r="X29" s="594"/>
      <c r="Y29" s="595"/>
    </row>
    <row r="30" spans="1:25" ht="9.9499999999999993" customHeight="1" x14ac:dyDescent="0.25">
      <c r="A30" s="549">
        <f t="shared" ref="A30" si="4">1+A27</f>
        <v>8</v>
      </c>
      <c r="B30" s="548"/>
      <c r="C30" s="215"/>
      <c r="D30" s="215"/>
      <c r="E30" s="215"/>
      <c r="F30" s="215"/>
      <c r="G30" s="216"/>
      <c r="H30" s="215"/>
      <c r="I30" s="215"/>
      <c r="J30" s="215"/>
      <c r="K30" s="215"/>
      <c r="L30" s="216"/>
      <c r="M30" s="590"/>
      <c r="N30" s="591"/>
      <c r="O30" s="591"/>
      <c r="P30" s="591"/>
      <c r="Q30" s="591"/>
      <c r="R30" s="591"/>
      <c r="S30" s="591"/>
      <c r="T30" s="591"/>
      <c r="U30" s="591"/>
      <c r="V30" s="591"/>
      <c r="W30" s="591"/>
      <c r="X30" s="591"/>
      <c r="Y30" s="592"/>
    </row>
    <row r="31" spans="1:25" s="27" customFormat="1" ht="20.100000000000001" customHeight="1" x14ac:dyDescent="0.25">
      <c r="A31" s="550"/>
      <c r="B31" s="548"/>
      <c r="C31" s="585" t="s">
        <v>165</v>
      </c>
      <c r="D31" s="586"/>
      <c r="E31" s="195"/>
      <c r="F31" s="195"/>
      <c r="G31" s="191"/>
      <c r="H31" s="585" t="s">
        <v>165</v>
      </c>
      <c r="I31" s="586"/>
      <c r="J31" s="195"/>
      <c r="K31" s="195"/>
      <c r="L31" s="191"/>
      <c r="M31" s="597"/>
      <c r="N31" s="598"/>
      <c r="O31" s="598"/>
      <c r="P31" s="598"/>
      <c r="Q31" s="598"/>
      <c r="R31" s="598"/>
      <c r="S31" s="598"/>
      <c r="T31" s="598"/>
      <c r="U31" s="598"/>
      <c r="V31" s="598"/>
      <c r="W31" s="598"/>
      <c r="X31" s="598"/>
      <c r="Y31" s="599"/>
    </row>
    <row r="32" spans="1:25" ht="9.9499999999999993" customHeight="1" x14ac:dyDescent="0.25">
      <c r="A32" s="551"/>
      <c r="B32" s="548"/>
      <c r="C32" s="217"/>
      <c r="D32" s="217"/>
      <c r="E32" s="217"/>
      <c r="F32" s="217"/>
      <c r="G32" s="218"/>
      <c r="H32" s="217"/>
      <c r="I32" s="217"/>
      <c r="J32" s="217"/>
      <c r="K32" s="217"/>
      <c r="L32" s="218"/>
      <c r="M32" s="593"/>
      <c r="N32" s="594"/>
      <c r="O32" s="594"/>
      <c r="P32" s="594"/>
      <c r="Q32" s="594"/>
      <c r="R32" s="594"/>
      <c r="S32" s="594"/>
      <c r="T32" s="594"/>
      <c r="U32" s="594"/>
      <c r="V32" s="594"/>
      <c r="W32" s="594"/>
      <c r="X32" s="594"/>
      <c r="Y32" s="595"/>
    </row>
    <row r="33" spans="1:25" ht="9.9499999999999993" customHeight="1" x14ac:dyDescent="0.25">
      <c r="A33" s="549">
        <f t="shared" ref="A33" si="5">1+A30</f>
        <v>9</v>
      </c>
      <c r="B33" s="548"/>
      <c r="C33" s="215"/>
      <c r="D33" s="215"/>
      <c r="E33" s="215"/>
      <c r="F33" s="215"/>
      <c r="G33" s="216"/>
      <c r="H33" s="215"/>
      <c r="I33" s="215"/>
      <c r="J33" s="215"/>
      <c r="K33" s="215"/>
      <c r="L33" s="216"/>
      <c r="M33" s="590"/>
      <c r="N33" s="591"/>
      <c r="O33" s="591"/>
      <c r="P33" s="591"/>
      <c r="Q33" s="591"/>
      <c r="R33" s="591"/>
      <c r="S33" s="591"/>
      <c r="T33" s="591"/>
      <c r="U33" s="591"/>
      <c r="V33" s="591"/>
      <c r="W33" s="591"/>
      <c r="X33" s="591"/>
      <c r="Y33" s="592"/>
    </row>
    <row r="34" spans="1:25" s="27" customFormat="1" ht="20.100000000000001" customHeight="1" x14ac:dyDescent="0.25">
      <c r="A34" s="550"/>
      <c r="B34" s="548"/>
      <c r="C34" s="585" t="s">
        <v>165</v>
      </c>
      <c r="D34" s="586"/>
      <c r="E34" s="195"/>
      <c r="F34" s="195"/>
      <c r="G34" s="191"/>
      <c r="H34" s="585" t="s">
        <v>165</v>
      </c>
      <c r="I34" s="586"/>
      <c r="J34" s="195"/>
      <c r="K34" s="195"/>
      <c r="L34" s="191"/>
      <c r="M34" s="597"/>
      <c r="N34" s="598"/>
      <c r="O34" s="598"/>
      <c r="P34" s="598"/>
      <c r="Q34" s="598"/>
      <c r="R34" s="598"/>
      <c r="S34" s="598"/>
      <c r="T34" s="598"/>
      <c r="U34" s="598"/>
      <c r="V34" s="598"/>
      <c r="W34" s="598"/>
      <c r="X34" s="598"/>
      <c r="Y34" s="599"/>
    </row>
    <row r="35" spans="1:25" ht="9.75" customHeight="1" x14ac:dyDescent="0.25">
      <c r="A35" s="551"/>
      <c r="B35" s="548"/>
      <c r="C35" s="217"/>
      <c r="D35" s="217"/>
      <c r="E35" s="217"/>
      <c r="F35" s="217"/>
      <c r="G35" s="218"/>
      <c r="H35" s="217"/>
      <c r="I35" s="217"/>
      <c r="J35" s="217"/>
      <c r="K35" s="217"/>
      <c r="L35" s="218"/>
      <c r="M35" s="593"/>
      <c r="N35" s="594"/>
      <c r="O35" s="594"/>
      <c r="P35" s="594"/>
      <c r="Q35" s="594"/>
      <c r="R35" s="594"/>
      <c r="S35" s="594"/>
      <c r="T35" s="594"/>
      <c r="U35" s="594"/>
      <c r="V35" s="594"/>
      <c r="W35" s="594"/>
      <c r="X35" s="594"/>
      <c r="Y35" s="595"/>
    </row>
    <row r="36" spans="1:25" ht="9.9499999999999993" customHeight="1" x14ac:dyDescent="0.25">
      <c r="A36" s="549">
        <f t="shared" ref="A36" si="6">1+A33</f>
        <v>10</v>
      </c>
      <c r="B36" s="548"/>
      <c r="C36" s="215"/>
      <c r="D36" s="215"/>
      <c r="E36" s="215"/>
      <c r="F36" s="215"/>
      <c r="G36" s="216"/>
      <c r="H36" s="215"/>
      <c r="I36" s="215"/>
      <c r="J36" s="215"/>
      <c r="K36" s="215"/>
      <c r="L36" s="216"/>
      <c r="M36" s="590"/>
      <c r="N36" s="591"/>
      <c r="O36" s="591"/>
      <c r="P36" s="591"/>
      <c r="Q36" s="591"/>
      <c r="R36" s="591"/>
      <c r="S36" s="591"/>
      <c r="T36" s="591"/>
      <c r="U36" s="591"/>
      <c r="V36" s="591"/>
      <c r="W36" s="591"/>
      <c r="X36" s="591"/>
      <c r="Y36" s="592"/>
    </row>
    <row r="37" spans="1:25" s="27" customFormat="1" ht="20.100000000000001" customHeight="1" x14ac:dyDescent="0.25">
      <c r="A37" s="550"/>
      <c r="B37" s="548"/>
      <c r="C37" s="585" t="s">
        <v>165</v>
      </c>
      <c r="D37" s="586"/>
      <c r="E37" s="195"/>
      <c r="F37" s="195"/>
      <c r="G37" s="191"/>
      <c r="H37" s="585" t="s">
        <v>165</v>
      </c>
      <c r="I37" s="586"/>
      <c r="J37" s="195"/>
      <c r="K37" s="195"/>
      <c r="L37" s="191"/>
      <c r="M37" s="597"/>
      <c r="N37" s="598"/>
      <c r="O37" s="598"/>
      <c r="P37" s="598"/>
      <c r="Q37" s="598"/>
      <c r="R37" s="598"/>
      <c r="S37" s="598"/>
      <c r="T37" s="598"/>
      <c r="U37" s="598"/>
      <c r="V37" s="598"/>
      <c r="W37" s="598"/>
      <c r="X37" s="598"/>
      <c r="Y37" s="599"/>
    </row>
    <row r="38" spans="1:25" ht="9.9499999999999993" customHeight="1" x14ac:dyDescent="0.25">
      <c r="A38" s="551"/>
      <c r="B38" s="548"/>
      <c r="C38" s="217"/>
      <c r="D38" s="217"/>
      <c r="E38" s="217"/>
      <c r="F38" s="217"/>
      <c r="G38" s="218"/>
      <c r="H38" s="217"/>
      <c r="I38" s="217"/>
      <c r="J38" s="217"/>
      <c r="K38" s="217"/>
      <c r="L38" s="218"/>
      <c r="M38" s="593"/>
      <c r="N38" s="594"/>
      <c r="O38" s="594"/>
      <c r="P38" s="594"/>
      <c r="Q38" s="594"/>
      <c r="R38" s="594"/>
      <c r="S38" s="594"/>
      <c r="T38" s="594"/>
      <c r="U38" s="594"/>
      <c r="V38" s="594"/>
      <c r="W38" s="594"/>
      <c r="X38" s="594"/>
      <c r="Y38" s="595"/>
    </row>
    <row r="39" spans="1:25" ht="9.9499999999999993" customHeight="1" x14ac:dyDescent="0.25">
      <c r="A39" s="549">
        <f t="shared" ref="A39:A66" si="7">1+A36</f>
        <v>11</v>
      </c>
      <c r="B39" s="548"/>
      <c r="C39" s="215"/>
      <c r="D39" s="215"/>
      <c r="E39" s="215"/>
      <c r="F39" s="215"/>
      <c r="G39" s="216"/>
      <c r="H39" s="215"/>
      <c r="I39" s="215"/>
      <c r="J39" s="215"/>
      <c r="K39" s="215"/>
      <c r="L39" s="216"/>
      <c r="M39" s="590"/>
      <c r="N39" s="591"/>
      <c r="O39" s="591"/>
      <c r="P39" s="591"/>
      <c r="Q39" s="591"/>
      <c r="R39" s="591"/>
      <c r="S39" s="591"/>
      <c r="T39" s="591"/>
      <c r="U39" s="591"/>
      <c r="V39" s="591"/>
      <c r="W39" s="591"/>
      <c r="X39" s="591"/>
      <c r="Y39" s="592"/>
    </row>
    <row r="40" spans="1:25" s="27" customFormat="1" ht="20.100000000000001" customHeight="1" x14ac:dyDescent="0.25">
      <c r="A40" s="550"/>
      <c r="B40" s="548"/>
      <c r="C40" s="585" t="s">
        <v>165</v>
      </c>
      <c r="D40" s="586"/>
      <c r="E40" s="195"/>
      <c r="F40" s="195"/>
      <c r="G40" s="191"/>
      <c r="H40" s="585" t="s">
        <v>165</v>
      </c>
      <c r="I40" s="586"/>
      <c r="J40" s="195"/>
      <c r="K40" s="195"/>
      <c r="L40" s="191"/>
      <c r="M40" s="597"/>
      <c r="N40" s="598"/>
      <c r="O40" s="598"/>
      <c r="P40" s="598"/>
      <c r="Q40" s="598"/>
      <c r="R40" s="598"/>
      <c r="S40" s="598"/>
      <c r="T40" s="598"/>
      <c r="U40" s="598"/>
      <c r="V40" s="598"/>
      <c r="W40" s="598"/>
      <c r="X40" s="598"/>
      <c r="Y40" s="599"/>
    </row>
    <row r="41" spans="1:25" ht="9.9499999999999993" customHeight="1" x14ac:dyDescent="0.25">
      <c r="A41" s="551"/>
      <c r="B41" s="548"/>
      <c r="C41" s="217"/>
      <c r="D41" s="217"/>
      <c r="E41" s="217"/>
      <c r="F41" s="217"/>
      <c r="G41" s="218"/>
      <c r="H41" s="217"/>
      <c r="I41" s="217"/>
      <c r="J41" s="217"/>
      <c r="K41" s="217"/>
      <c r="L41" s="218"/>
      <c r="M41" s="593"/>
      <c r="N41" s="594"/>
      <c r="O41" s="594"/>
      <c r="P41" s="594"/>
      <c r="Q41" s="594"/>
      <c r="R41" s="594"/>
      <c r="S41" s="594"/>
      <c r="T41" s="594"/>
      <c r="U41" s="594"/>
      <c r="V41" s="594"/>
      <c r="W41" s="594"/>
      <c r="X41" s="594"/>
      <c r="Y41" s="595"/>
    </row>
    <row r="42" spans="1:25" ht="9.9499999999999993" customHeight="1" x14ac:dyDescent="0.25">
      <c r="A42" s="549">
        <f t="shared" si="7"/>
        <v>12</v>
      </c>
      <c r="B42" s="548"/>
      <c r="C42" s="215"/>
      <c r="D42" s="215"/>
      <c r="E42" s="215"/>
      <c r="F42" s="215"/>
      <c r="G42" s="216"/>
      <c r="H42" s="215"/>
      <c r="I42" s="215"/>
      <c r="J42" s="215"/>
      <c r="K42" s="215"/>
      <c r="L42" s="216"/>
      <c r="M42" s="590"/>
      <c r="N42" s="591"/>
      <c r="O42" s="591"/>
      <c r="P42" s="591"/>
      <c r="Q42" s="591"/>
      <c r="R42" s="591"/>
      <c r="S42" s="591"/>
      <c r="T42" s="591"/>
      <c r="U42" s="591"/>
      <c r="V42" s="591"/>
      <c r="W42" s="591"/>
      <c r="X42" s="591"/>
      <c r="Y42" s="592"/>
    </row>
    <row r="43" spans="1:25" s="27" customFormat="1" ht="20.100000000000001" customHeight="1" x14ac:dyDescent="0.25">
      <c r="A43" s="550"/>
      <c r="B43" s="548"/>
      <c r="C43" s="585" t="s">
        <v>165</v>
      </c>
      <c r="D43" s="586"/>
      <c r="E43" s="195"/>
      <c r="F43" s="195"/>
      <c r="G43" s="191"/>
      <c r="H43" s="585" t="s">
        <v>165</v>
      </c>
      <c r="I43" s="586"/>
      <c r="J43" s="195"/>
      <c r="K43" s="195"/>
      <c r="L43" s="191"/>
      <c r="M43" s="597"/>
      <c r="N43" s="598"/>
      <c r="O43" s="598"/>
      <c r="P43" s="598"/>
      <c r="Q43" s="598"/>
      <c r="R43" s="598"/>
      <c r="S43" s="598"/>
      <c r="T43" s="598"/>
      <c r="U43" s="598"/>
      <c r="V43" s="598"/>
      <c r="W43" s="598"/>
      <c r="X43" s="598"/>
      <c r="Y43" s="599"/>
    </row>
    <row r="44" spans="1:25" ht="9.9499999999999993" customHeight="1" x14ac:dyDescent="0.25">
      <c r="A44" s="551"/>
      <c r="B44" s="548"/>
      <c r="C44" s="217"/>
      <c r="D44" s="217"/>
      <c r="E44" s="217"/>
      <c r="F44" s="217"/>
      <c r="G44" s="218"/>
      <c r="H44" s="217"/>
      <c r="I44" s="217"/>
      <c r="J44" s="217"/>
      <c r="K44" s="217"/>
      <c r="L44" s="218"/>
      <c r="M44" s="593"/>
      <c r="N44" s="594"/>
      <c r="O44" s="594"/>
      <c r="P44" s="594"/>
      <c r="Q44" s="594"/>
      <c r="R44" s="594"/>
      <c r="S44" s="594"/>
      <c r="T44" s="594"/>
      <c r="U44" s="594"/>
      <c r="V44" s="594"/>
      <c r="W44" s="594"/>
      <c r="X44" s="594"/>
      <c r="Y44" s="595"/>
    </row>
    <row r="45" spans="1:25" ht="9.9499999999999993" customHeight="1" x14ac:dyDescent="0.25">
      <c r="A45" s="549">
        <f t="shared" si="7"/>
        <v>13</v>
      </c>
      <c r="B45" s="548"/>
      <c r="C45" s="215"/>
      <c r="D45" s="215"/>
      <c r="E45" s="215"/>
      <c r="F45" s="215"/>
      <c r="G45" s="216"/>
      <c r="H45" s="215"/>
      <c r="I45" s="215"/>
      <c r="J45" s="215"/>
      <c r="K45" s="215"/>
      <c r="L45" s="216"/>
      <c r="M45" s="590"/>
      <c r="N45" s="591"/>
      <c r="O45" s="591"/>
      <c r="P45" s="591"/>
      <c r="Q45" s="591"/>
      <c r="R45" s="591"/>
      <c r="S45" s="591"/>
      <c r="T45" s="591"/>
      <c r="U45" s="591"/>
      <c r="V45" s="591"/>
      <c r="W45" s="591"/>
      <c r="X45" s="591"/>
      <c r="Y45" s="592"/>
    </row>
    <row r="46" spans="1:25" s="27" customFormat="1" ht="20.100000000000001" customHeight="1" x14ac:dyDescent="0.25">
      <c r="A46" s="550"/>
      <c r="B46" s="548"/>
      <c r="C46" s="585" t="s">
        <v>165</v>
      </c>
      <c r="D46" s="586"/>
      <c r="E46" s="195"/>
      <c r="F46" s="195"/>
      <c r="G46" s="191"/>
      <c r="H46" s="585" t="s">
        <v>165</v>
      </c>
      <c r="I46" s="586"/>
      <c r="J46" s="195"/>
      <c r="K46" s="195"/>
      <c r="L46" s="191"/>
      <c r="M46" s="597"/>
      <c r="N46" s="598"/>
      <c r="O46" s="598"/>
      <c r="P46" s="598"/>
      <c r="Q46" s="598"/>
      <c r="R46" s="598"/>
      <c r="S46" s="598"/>
      <c r="T46" s="598"/>
      <c r="U46" s="598"/>
      <c r="V46" s="598"/>
      <c r="W46" s="598"/>
      <c r="X46" s="598"/>
      <c r="Y46" s="599"/>
    </row>
    <row r="47" spans="1:25" ht="9.9499999999999993" customHeight="1" x14ac:dyDescent="0.25">
      <c r="A47" s="551"/>
      <c r="B47" s="548"/>
      <c r="C47" s="217"/>
      <c r="D47" s="217"/>
      <c r="E47" s="217"/>
      <c r="F47" s="217"/>
      <c r="G47" s="218"/>
      <c r="H47" s="217"/>
      <c r="I47" s="217"/>
      <c r="J47" s="217"/>
      <c r="K47" s="217"/>
      <c r="L47" s="218"/>
      <c r="M47" s="593"/>
      <c r="N47" s="594"/>
      <c r="O47" s="594"/>
      <c r="P47" s="594"/>
      <c r="Q47" s="594"/>
      <c r="R47" s="594"/>
      <c r="S47" s="594"/>
      <c r="T47" s="594"/>
      <c r="U47" s="594"/>
      <c r="V47" s="594"/>
      <c r="W47" s="594"/>
      <c r="X47" s="594"/>
      <c r="Y47" s="595"/>
    </row>
    <row r="48" spans="1:25" ht="9.9499999999999993" customHeight="1" x14ac:dyDescent="0.25">
      <c r="A48" s="549">
        <f t="shared" si="7"/>
        <v>14</v>
      </c>
      <c r="B48" s="548"/>
      <c r="C48" s="215"/>
      <c r="D48" s="215"/>
      <c r="E48" s="215"/>
      <c r="F48" s="215"/>
      <c r="G48" s="216"/>
      <c r="H48" s="215"/>
      <c r="I48" s="215"/>
      <c r="J48" s="215"/>
      <c r="K48" s="215"/>
      <c r="L48" s="216"/>
      <c r="M48" s="590"/>
      <c r="N48" s="591"/>
      <c r="O48" s="591"/>
      <c r="P48" s="591"/>
      <c r="Q48" s="591"/>
      <c r="R48" s="591"/>
      <c r="S48" s="591"/>
      <c r="T48" s="591"/>
      <c r="U48" s="591"/>
      <c r="V48" s="591"/>
      <c r="W48" s="591"/>
      <c r="X48" s="591"/>
      <c r="Y48" s="592"/>
    </row>
    <row r="49" spans="1:25" s="27" customFormat="1" ht="20.100000000000001" customHeight="1" x14ac:dyDescent="0.25">
      <c r="A49" s="550"/>
      <c r="B49" s="548"/>
      <c r="C49" s="585" t="s">
        <v>165</v>
      </c>
      <c r="D49" s="586"/>
      <c r="E49" s="195"/>
      <c r="F49" s="195"/>
      <c r="G49" s="191"/>
      <c r="H49" s="585" t="s">
        <v>165</v>
      </c>
      <c r="I49" s="586"/>
      <c r="J49" s="195"/>
      <c r="K49" s="195"/>
      <c r="L49" s="191"/>
      <c r="M49" s="597"/>
      <c r="N49" s="598"/>
      <c r="O49" s="598"/>
      <c r="P49" s="598"/>
      <c r="Q49" s="598"/>
      <c r="R49" s="598"/>
      <c r="S49" s="598"/>
      <c r="T49" s="598"/>
      <c r="U49" s="598"/>
      <c r="V49" s="598"/>
      <c r="W49" s="598"/>
      <c r="X49" s="598"/>
      <c r="Y49" s="599"/>
    </row>
    <row r="50" spans="1:25" ht="9.9499999999999993" customHeight="1" x14ac:dyDescent="0.25">
      <c r="A50" s="551"/>
      <c r="B50" s="548"/>
      <c r="C50" s="217"/>
      <c r="D50" s="217"/>
      <c r="E50" s="217"/>
      <c r="F50" s="217"/>
      <c r="G50" s="218"/>
      <c r="H50" s="217"/>
      <c r="I50" s="217"/>
      <c r="J50" s="217"/>
      <c r="K50" s="217"/>
      <c r="L50" s="218"/>
      <c r="M50" s="593"/>
      <c r="N50" s="594"/>
      <c r="O50" s="594"/>
      <c r="P50" s="594"/>
      <c r="Q50" s="594"/>
      <c r="R50" s="594"/>
      <c r="S50" s="594"/>
      <c r="T50" s="594"/>
      <c r="U50" s="594"/>
      <c r="V50" s="594"/>
      <c r="W50" s="594"/>
      <c r="X50" s="594"/>
      <c r="Y50" s="595"/>
    </row>
    <row r="51" spans="1:25" ht="9.9499999999999993" customHeight="1" x14ac:dyDescent="0.25">
      <c r="A51" s="549">
        <f t="shared" si="7"/>
        <v>15</v>
      </c>
      <c r="B51" s="548"/>
      <c r="C51" s="215"/>
      <c r="D51" s="215"/>
      <c r="E51" s="215"/>
      <c r="F51" s="215"/>
      <c r="G51" s="216"/>
      <c r="H51" s="215"/>
      <c r="I51" s="215"/>
      <c r="J51" s="215"/>
      <c r="K51" s="215"/>
      <c r="L51" s="216"/>
      <c r="M51" s="590"/>
      <c r="N51" s="591"/>
      <c r="O51" s="591"/>
      <c r="P51" s="591"/>
      <c r="Q51" s="591"/>
      <c r="R51" s="591"/>
      <c r="S51" s="591"/>
      <c r="T51" s="591"/>
      <c r="U51" s="591"/>
      <c r="V51" s="591"/>
      <c r="W51" s="591"/>
      <c r="X51" s="591"/>
      <c r="Y51" s="592"/>
    </row>
    <row r="52" spans="1:25" s="27" customFormat="1" ht="20.100000000000001" customHeight="1" x14ac:dyDescent="0.25">
      <c r="A52" s="550"/>
      <c r="B52" s="548"/>
      <c r="C52" s="585" t="s">
        <v>165</v>
      </c>
      <c r="D52" s="586"/>
      <c r="E52" s="195"/>
      <c r="F52" s="195"/>
      <c r="G52" s="191"/>
      <c r="H52" s="585" t="s">
        <v>165</v>
      </c>
      <c r="I52" s="586"/>
      <c r="J52" s="195"/>
      <c r="K52" s="195"/>
      <c r="L52" s="191"/>
      <c r="M52" s="597"/>
      <c r="N52" s="598"/>
      <c r="O52" s="598"/>
      <c r="P52" s="598"/>
      <c r="Q52" s="598"/>
      <c r="R52" s="598"/>
      <c r="S52" s="598"/>
      <c r="T52" s="598"/>
      <c r="U52" s="598"/>
      <c r="V52" s="598"/>
      <c r="W52" s="598"/>
      <c r="X52" s="598"/>
      <c r="Y52" s="599"/>
    </row>
    <row r="53" spans="1:25" ht="9.9499999999999993" customHeight="1" x14ac:dyDescent="0.25">
      <c r="A53" s="551"/>
      <c r="B53" s="548"/>
      <c r="C53" s="217"/>
      <c r="D53" s="217"/>
      <c r="E53" s="217"/>
      <c r="F53" s="217"/>
      <c r="G53" s="218"/>
      <c r="H53" s="217"/>
      <c r="I53" s="217"/>
      <c r="J53" s="217"/>
      <c r="K53" s="217"/>
      <c r="L53" s="218"/>
      <c r="M53" s="593"/>
      <c r="N53" s="594"/>
      <c r="O53" s="594"/>
      <c r="P53" s="594"/>
      <c r="Q53" s="594"/>
      <c r="R53" s="594"/>
      <c r="S53" s="594"/>
      <c r="T53" s="594"/>
      <c r="U53" s="594"/>
      <c r="V53" s="594"/>
      <c r="W53" s="594"/>
      <c r="X53" s="594"/>
      <c r="Y53" s="595"/>
    </row>
    <row r="54" spans="1:25" ht="9.9499999999999993" customHeight="1" x14ac:dyDescent="0.25">
      <c r="A54" s="549">
        <f t="shared" si="7"/>
        <v>16</v>
      </c>
      <c r="B54" s="548"/>
      <c r="C54" s="215"/>
      <c r="D54" s="215"/>
      <c r="E54" s="215"/>
      <c r="F54" s="215"/>
      <c r="G54" s="216"/>
      <c r="H54" s="215"/>
      <c r="I54" s="215"/>
      <c r="J54" s="215"/>
      <c r="K54" s="215"/>
      <c r="L54" s="216"/>
      <c r="M54" s="590"/>
      <c r="N54" s="591"/>
      <c r="O54" s="591"/>
      <c r="P54" s="591"/>
      <c r="Q54" s="591"/>
      <c r="R54" s="591"/>
      <c r="S54" s="591"/>
      <c r="T54" s="591"/>
      <c r="U54" s="591"/>
      <c r="V54" s="591"/>
      <c r="W54" s="591"/>
      <c r="X54" s="591"/>
      <c r="Y54" s="592"/>
    </row>
    <row r="55" spans="1:25" s="27" customFormat="1" ht="20.100000000000001" customHeight="1" x14ac:dyDescent="0.25">
      <c r="A55" s="550"/>
      <c r="B55" s="548"/>
      <c r="C55" s="585" t="s">
        <v>165</v>
      </c>
      <c r="D55" s="586"/>
      <c r="E55" s="195"/>
      <c r="F55" s="195"/>
      <c r="G55" s="191"/>
      <c r="H55" s="585" t="s">
        <v>165</v>
      </c>
      <c r="I55" s="586"/>
      <c r="J55" s="195"/>
      <c r="K55" s="195"/>
      <c r="L55" s="191"/>
      <c r="M55" s="597"/>
      <c r="N55" s="598"/>
      <c r="O55" s="598"/>
      <c r="P55" s="598"/>
      <c r="Q55" s="598"/>
      <c r="R55" s="598"/>
      <c r="S55" s="598"/>
      <c r="T55" s="598"/>
      <c r="U55" s="598"/>
      <c r="V55" s="598"/>
      <c r="W55" s="598"/>
      <c r="X55" s="598"/>
      <c r="Y55" s="599"/>
    </row>
    <row r="56" spans="1:25" ht="9.9499999999999993" customHeight="1" x14ac:dyDescent="0.25">
      <c r="A56" s="551"/>
      <c r="B56" s="548"/>
      <c r="C56" s="217"/>
      <c r="D56" s="217"/>
      <c r="E56" s="217"/>
      <c r="F56" s="217"/>
      <c r="G56" s="218"/>
      <c r="H56" s="217"/>
      <c r="I56" s="217"/>
      <c r="J56" s="217"/>
      <c r="K56" s="217"/>
      <c r="L56" s="218"/>
      <c r="M56" s="593"/>
      <c r="N56" s="594"/>
      <c r="O56" s="594"/>
      <c r="P56" s="594"/>
      <c r="Q56" s="594"/>
      <c r="R56" s="594"/>
      <c r="S56" s="594"/>
      <c r="T56" s="594"/>
      <c r="U56" s="594"/>
      <c r="V56" s="594"/>
      <c r="W56" s="594"/>
      <c r="X56" s="594"/>
      <c r="Y56" s="595"/>
    </row>
    <row r="57" spans="1:25" ht="9.9499999999999993" customHeight="1" x14ac:dyDescent="0.25">
      <c r="A57" s="549">
        <f t="shared" si="7"/>
        <v>17</v>
      </c>
      <c r="B57" s="548"/>
      <c r="C57" s="215"/>
      <c r="D57" s="215"/>
      <c r="E57" s="215"/>
      <c r="F57" s="215"/>
      <c r="G57" s="216"/>
      <c r="H57" s="215"/>
      <c r="I57" s="215"/>
      <c r="J57" s="215"/>
      <c r="K57" s="215"/>
      <c r="L57" s="216"/>
      <c r="M57" s="590"/>
      <c r="N57" s="591"/>
      <c r="O57" s="591"/>
      <c r="P57" s="591"/>
      <c r="Q57" s="591"/>
      <c r="R57" s="591"/>
      <c r="S57" s="591"/>
      <c r="T57" s="591"/>
      <c r="U57" s="591"/>
      <c r="V57" s="591"/>
      <c r="W57" s="591"/>
      <c r="X57" s="591"/>
      <c r="Y57" s="592"/>
    </row>
    <row r="58" spans="1:25" s="27" customFormat="1" ht="20.100000000000001" customHeight="1" x14ac:dyDescent="0.25">
      <c r="A58" s="550"/>
      <c r="B58" s="548"/>
      <c r="C58" s="585" t="s">
        <v>165</v>
      </c>
      <c r="D58" s="586"/>
      <c r="E58" s="195"/>
      <c r="F58" s="195"/>
      <c r="G58" s="191"/>
      <c r="H58" s="585" t="s">
        <v>165</v>
      </c>
      <c r="I58" s="586"/>
      <c r="J58" s="195"/>
      <c r="K58" s="195"/>
      <c r="L58" s="191"/>
      <c r="M58" s="597"/>
      <c r="N58" s="598"/>
      <c r="O58" s="598"/>
      <c r="P58" s="598"/>
      <c r="Q58" s="598"/>
      <c r="R58" s="598"/>
      <c r="S58" s="598"/>
      <c r="T58" s="598"/>
      <c r="U58" s="598"/>
      <c r="V58" s="598"/>
      <c r="W58" s="598"/>
      <c r="X58" s="598"/>
      <c r="Y58" s="599"/>
    </row>
    <row r="59" spans="1:25" ht="9.9499999999999993" customHeight="1" x14ac:dyDescent="0.25">
      <c r="A59" s="551"/>
      <c r="B59" s="548"/>
      <c r="C59" s="217"/>
      <c r="D59" s="217"/>
      <c r="E59" s="217"/>
      <c r="F59" s="217"/>
      <c r="G59" s="218"/>
      <c r="H59" s="217"/>
      <c r="I59" s="217"/>
      <c r="J59" s="217"/>
      <c r="K59" s="217"/>
      <c r="L59" s="218"/>
      <c r="M59" s="593"/>
      <c r="N59" s="594"/>
      <c r="O59" s="594"/>
      <c r="P59" s="594"/>
      <c r="Q59" s="594"/>
      <c r="R59" s="594"/>
      <c r="S59" s="594"/>
      <c r="T59" s="594"/>
      <c r="U59" s="594"/>
      <c r="V59" s="594"/>
      <c r="W59" s="594"/>
      <c r="X59" s="594"/>
      <c r="Y59" s="595"/>
    </row>
    <row r="60" spans="1:25" ht="9.9499999999999993" customHeight="1" x14ac:dyDescent="0.25">
      <c r="A60" s="549">
        <f t="shared" si="7"/>
        <v>18</v>
      </c>
      <c r="B60" s="548"/>
      <c r="C60" s="215"/>
      <c r="D60" s="215"/>
      <c r="E60" s="215"/>
      <c r="F60" s="215"/>
      <c r="G60" s="216"/>
      <c r="H60" s="215"/>
      <c r="I60" s="215"/>
      <c r="J60" s="215"/>
      <c r="K60" s="215"/>
      <c r="L60" s="216"/>
      <c r="M60" s="590"/>
      <c r="N60" s="591"/>
      <c r="O60" s="591"/>
      <c r="P60" s="591"/>
      <c r="Q60" s="591"/>
      <c r="R60" s="591"/>
      <c r="S60" s="591"/>
      <c r="T60" s="591"/>
      <c r="U60" s="591"/>
      <c r="V60" s="591"/>
      <c r="W60" s="591"/>
      <c r="X60" s="591"/>
      <c r="Y60" s="592"/>
    </row>
    <row r="61" spans="1:25" s="27" customFormat="1" ht="20.100000000000001" customHeight="1" x14ac:dyDescent="0.25">
      <c r="A61" s="550"/>
      <c r="B61" s="548"/>
      <c r="C61" s="585" t="s">
        <v>165</v>
      </c>
      <c r="D61" s="586"/>
      <c r="E61" s="195"/>
      <c r="F61" s="195"/>
      <c r="G61" s="191"/>
      <c r="H61" s="585" t="s">
        <v>165</v>
      </c>
      <c r="I61" s="586"/>
      <c r="J61" s="195"/>
      <c r="K61" s="195"/>
      <c r="L61" s="191"/>
      <c r="M61" s="597"/>
      <c r="N61" s="598"/>
      <c r="O61" s="598"/>
      <c r="P61" s="598"/>
      <c r="Q61" s="598"/>
      <c r="R61" s="598"/>
      <c r="S61" s="598"/>
      <c r="T61" s="598"/>
      <c r="U61" s="598"/>
      <c r="V61" s="598"/>
      <c r="W61" s="598"/>
      <c r="X61" s="598"/>
      <c r="Y61" s="599"/>
    </row>
    <row r="62" spans="1:25" ht="9.9499999999999993" customHeight="1" x14ac:dyDescent="0.25">
      <c r="A62" s="551"/>
      <c r="B62" s="548"/>
      <c r="C62" s="217"/>
      <c r="D62" s="217"/>
      <c r="E62" s="217"/>
      <c r="F62" s="217"/>
      <c r="G62" s="218"/>
      <c r="H62" s="217"/>
      <c r="I62" s="217"/>
      <c r="J62" s="217"/>
      <c r="K62" s="217"/>
      <c r="L62" s="218"/>
      <c r="M62" s="593"/>
      <c r="N62" s="594"/>
      <c r="O62" s="594"/>
      <c r="P62" s="594"/>
      <c r="Q62" s="594"/>
      <c r="R62" s="594"/>
      <c r="S62" s="594"/>
      <c r="T62" s="594"/>
      <c r="U62" s="594"/>
      <c r="V62" s="594"/>
      <c r="W62" s="594"/>
      <c r="X62" s="594"/>
      <c r="Y62" s="595"/>
    </row>
    <row r="63" spans="1:25" ht="9.9499999999999993" customHeight="1" x14ac:dyDescent="0.25">
      <c r="A63" s="549">
        <f t="shared" si="7"/>
        <v>19</v>
      </c>
      <c r="B63" s="548"/>
      <c r="C63" s="215"/>
      <c r="D63" s="215"/>
      <c r="E63" s="215"/>
      <c r="F63" s="215"/>
      <c r="G63" s="216"/>
      <c r="H63" s="215"/>
      <c r="I63" s="215"/>
      <c r="J63" s="215"/>
      <c r="K63" s="215"/>
      <c r="L63" s="216"/>
      <c r="M63" s="590"/>
      <c r="N63" s="591"/>
      <c r="O63" s="591"/>
      <c r="P63" s="591"/>
      <c r="Q63" s="591"/>
      <c r="R63" s="591"/>
      <c r="S63" s="591"/>
      <c r="T63" s="591"/>
      <c r="U63" s="591"/>
      <c r="V63" s="591"/>
      <c r="W63" s="591"/>
      <c r="X63" s="591"/>
      <c r="Y63" s="592"/>
    </row>
    <row r="64" spans="1:25" s="27" customFormat="1" ht="20.100000000000001" customHeight="1" x14ac:dyDescent="0.25">
      <c r="A64" s="550"/>
      <c r="B64" s="548"/>
      <c r="C64" s="585" t="s">
        <v>165</v>
      </c>
      <c r="D64" s="586"/>
      <c r="E64" s="195"/>
      <c r="F64" s="195"/>
      <c r="G64" s="191"/>
      <c r="H64" s="585" t="s">
        <v>165</v>
      </c>
      <c r="I64" s="586"/>
      <c r="J64" s="195"/>
      <c r="K64" s="195"/>
      <c r="L64" s="191"/>
      <c r="M64" s="597"/>
      <c r="N64" s="598"/>
      <c r="O64" s="598"/>
      <c r="P64" s="598"/>
      <c r="Q64" s="598"/>
      <c r="R64" s="598"/>
      <c r="S64" s="598"/>
      <c r="T64" s="598"/>
      <c r="U64" s="598"/>
      <c r="V64" s="598"/>
      <c r="W64" s="598"/>
      <c r="X64" s="598"/>
      <c r="Y64" s="599"/>
    </row>
    <row r="65" spans="1:25" ht="9.9499999999999993" customHeight="1" x14ac:dyDescent="0.25">
      <c r="A65" s="551"/>
      <c r="B65" s="548"/>
      <c r="C65" s="217"/>
      <c r="D65" s="217"/>
      <c r="E65" s="217"/>
      <c r="F65" s="217"/>
      <c r="G65" s="218"/>
      <c r="H65" s="217"/>
      <c r="I65" s="217"/>
      <c r="J65" s="217"/>
      <c r="K65" s="217"/>
      <c r="L65" s="218"/>
      <c r="M65" s="593"/>
      <c r="N65" s="594"/>
      <c r="O65" s="594"/>
      <c r="P65" s="594"/>
      <c r="Q65" s="594"/>
      <c r="R65" s="594"/>
      <c r="S65" s="594"/>
      <c r="T65" s="594"/>
      <c r="U65" s="594"/>
      <c r="V65" s="594"/>
      <c r="W65" s="594"/>
      <c r="X65" s="594"/>
      <c r="Y65" s="595"/>
    </row>
    <row r="66" spans="1:25" ht="9.9499999999999993" customHeight="1" x14ac:dyDescent="0.25">
      <c r="A66" s="549">
        <f t="shared" si="7"/>
        <v>20</v>
      </c>
      <c r="B66" s="548"/>
      <c r="C66" s="215"/>
      <c r="D66" s="215"/>
      <c r="E66" s="215"/>
      <c r="F66" s="215"/>
      <c r="G66" s="216"/>
      <c r="H66" s="215"/>
      <c r="I66" s="215"/>
      <c r="J66" s="215"/>
      <c r="K66" s="215"/>
      <c r="L66" s="216"/>
      <c r="M66" s="590"/>
      <c r="N66" s="591"/>
      <c r="O66" s="591"/>
      <c r="P66" s="591"/>
      <c r="Q66" s="591"/>
      <c r="R66" s="591"/>
      <c r="S66" s="591"/>
      <c r="T66" s="591"/>
      <c r="U66" s="591"/>
      <c r="V66" s="591"/>
      <c r="W66" s="591"/>
      <c r="X66" s="591"/>
      <c r="Y66" s="592"/>
    </row>
    <row r="67" spans="1:25" s="27" customFormat="1" ht="20.100000000000001" customHeight="1" x14ac:dyDescent="0.25">
      <c r="A67" s="550"/>
      <c r="B67" s="548"/>
      <c r="C67" s="585" t="s">
        <v>165</v>
      </c>
      <c r="D67" s="586"/>
      <c r="E67" s="195"/>
      <c r="F67" s="195"/>
      <c r="G67" s="191"/>
      <c r="H67" s="585" t="s">
        <v>165</v>
      </c>
      <c r="I67" s="586"/>
      <c r="J67" s="195"/>
      <c r="K67" s="195"/>
      <c r="L67" s="191"/>
      <c r="M67" s="597"/>
      <c r="N67" s="598"/>
      <c r="O67" s="598"/>
      <c r="P67" s="598"/>
      <c r="Q67" s="598"/>
      <c r="R67" s="598"/>
      <c r="S67" s="598"/>
      <c r="T67" s="598"/>
      <c r="U67" s="598"/>
      <c r="V67" s="598"/>
      <c r="W67" s="598"/>
      <c r="X67" s="598"/>
      <c r="Y67" s="599"/>
    </row>
    <row r="68" spans="1:25" ht="9.9499999999999993" customHeight="1" x14ac:dyDescent="0.25">
      <c r="A68" s="551"/>
      <c r="B68" s="548"/>
      <c r="C68" s="217"/>
      <c r="D68" s="217"/>
      <c r="E68" s="217"/>
      <c r="F68" s="217"/>
      <c r="G68" s="218"/>
      <c r="H68" s="217"/>
      <c r="I68" s="217"/>
      <c r="J68" s="217"/>
      <c r="K68" s="217"/>
      <c r="L68" s="218"/>
      <c r="M68" s="593"/>
      <c r="N68" s="594"/>
      <c r="O68" s="594"/>
      <c r="P68" s="594"/>
      <c r="Q68" s="594"/>
      <c r="R68" s="594"/>
      <c r="S68" s="594"/>
      <c r="T68" s="594"/>
      <c r="U68" s="594"/>
      <c r="V68" s="594"/>
      <c r="W68" s="594"/>
      <c r="X68" s="594"/>
      <c r="Y68" s="595"/>
    </row>
    <row r="69" spans="1:25" ht="9.9499999999999993" customHeight="1" x14ac:dyDescent="0.25">
      <c r="A69" s="549">
        <f t="shared" ref="A69:A96" si="8">1+A66</f>
        <v>21</v>
      </c>
      <c r="B69" s="548"/>
      <c r="C69" s="215"/>
      <c r="D69" s="215"/>
      <c r="E69" s="215"/>
      <c r="F69" s="215"/>
      <c r="G69" s="216"/>
      <c r="H69" s="215"/>
      <c r="I69" s="215"/>
      <c r="J69" s="215"/>
      <c r="K69" s="215"/>
      <c r="L69" s="216"/>
      <c r="M69" s="590"/>
      <c r="N69" s="591"/>
      <c r="O69" s="591"/>
      <c r="P69" s="591"/>
      <c r="Q69" s="591"/>
      <c r="R69" s="591"/>
      <c r="S69" s="591"/>
      <c r="T69" s="591"/>
      <c r="U69" s="591"/>
      <c r="V69" s="591"/>
      <c r="W69" s="591"/>
      <c r="X69" s="591"/>
      <c r="Y69" s="592"/>
    </row>
    <row r="70" spans="1:25" s="27" customFormat="1" ht="20.100000000000001" customHeight="1" x14ac:dyDescent="0.25">
      <c r="A70" s="550"/>
      <c r="B70" s="548"/>
      <c r="C70" s="585" t="s">
        <v>165</v>
      </c>
      <c r="D70" s="586"/>
      <c r="E70" s="195"/>
      <c r="F70" s="195"/>
      <c r="G70" s="191"/>
      <c r="H70" s="585" t="s">
        <v>165</v>
      </c>
      <c r="I70" s="586"/>
      <c r="J70" s="195"/>
      <c r="K70" s="195"/>
      <c r="L70" s="191"/>
      <c r="M70" s="597"/>
      <c r="N70" s="598"/>
      <c r="O70" s="598"/>
      <c r="P70" s="598"/>
      <c r="Q70" s="598"/>
      <c r="R70" s="598"/>
      <c r="S70" s="598"/>
      <c r="T70" s="598"/>
      <c r="U70" s="598"/>
      <c r="V70" s="598"/>
      <c r="W70" s="598"/>
      <c r="X70" s="598"/>
      <c r="Y70" s="599"/>
    </row>
    <row r="71" spans="1:25" ht="9.9499999999999993" customHeight="1" x14ac:dyDescent="0.25">
      <c r="A71" s="551"/>
      <c r="B71" s="548"/>
      <c r="C71" s="217"/>
      <c r="D71" s="217"/>
      <c r="E71" s="217"/>
      <c r="F71" s="217"/>
      <c r="G71" s="218"/>
      <c r="H71" s="217"/>
      <c r="I71" s="217"/>
      <c r="J71" s="217"/>
      <c r="K71" s="217"/>
      <c r="L71" s="218"/>
      <c r="M71" s="593"/>
      <c r="N71" s="594"/>
      <c r="O71" s="594"/>
      <c r="P71" s="594"/>
      <c r="Q71" s="594"/>
      <c r="R71" s="594"/>
      <c r="S71" s="594"/>
      <c r="T71" s="594"/>
      <c r="U71" s="594"/>
      <c r="V71" s="594"/>
      <c r="W71" s="594"/>
      <c r="X71" s="594"/>
      <c r="Y71" s="595"/>
    </row>
    <row r="72" spans="1:25" ht="9.9499999999999993" customHeight="1" x14ac:dyDescent="0.25">
      <c r="A72" s="549">
        <f t="shared" si="8"/>
        <v>22</v>
      </c>
      <c r="B72" s="548"/>
      <c r="C72" s="215"/>
      <c r="D72" s="215"/>
      <c r="E72" s="215"/>
      <c r="F72" s="215"/>
      <c r="G72" s="216"/>
      <c r="H72" s="215"/>
      <c r="I72" s="215"/>
      <c r="J72" s="215"/>
      <c r="K72" s="215"/>
      <c r="L72" s="216"/>
      <c r="M72" s="590"/>
      <c r="N72" s="591"/>
      <c r="O72" s="591"/>
      <c r="P72" s="591"/>
      <c r="Q72" s="591"/>
      <c r="R72" s="591"/>
      <c r="S72" s="591"/>
      <c r="T72" s="591"/>
      <c r="U72" s="591"/>
      <c r="V72" s="591"/>
      <c r="W72" s="591"/>
      <c r="X72" s="591"/>
      <c r="Y72" s="592"/>
    </row>
    <row r="73" spans="1:25" s="27" customFormat="1" ht="20.100000000000001" customHeight="1" x14ac:dyDescent="0.25">
      <c r="A73" s="550"/>
      <c r="B73" s="548"/>
      <c r="C73" s="585" t="s">
        <v>165</v>
      </c>
      <c r="D73" s="586"/>
      <c r="E73" s="195"/>
      <c r="F73" s="195"/>
      <c r="G73" s="191"/>
      <c r="H73" s="585" t="s">
        <v>165</v>
      </c>
      <c r="I73" s="586"/>
      <c r="J73" s="195"/>
      <c r="K73" s="195"/>
      <c r="L73" s="191"/>
      <c r="M73" s="597"/>
      <c r="N73" s="598"/>
      <c r="O73" s="598"/>
      <c r="P73" s="598"/>
      <c r="Q73" s="598"/>
      <c r="R73" s="598"/>
      <c r="S73" s="598"/>
      <c r="T73" s="598"/>
      <c r="U73" s="598"/>
      <c r="V73" s="598"/>
      <c r="W73" s="598"/>
      <c r="X73" s="598"/>
      <c r="Y73" s="599"/>
    </row>
    <row r="74" spans="1:25" ht="9.9499999999999993" customHeight="1" x14ac:dyDescent="0.25">
      <c r="A74" s="551"/>
      <c r="B74" s="548"/>
      <c r="C74" s="217"/>
      <c r="D74" s="217"/>
      <c r="E74" s="217"/>
      <c r="F74" s="217"/>
      <c r="G74" s="218"/>
      <c r="H74" s="217"/>
      <c r="I74" s="217"/>
      <c r="J74" s="217"/>
      <c r="K74" s="217"/>
      <c r="L74" s="218"/>
      <c r="M74" s="593"/>
      <c r="N74" s="594"/>
      <c r="O74" s="594"/>
      <c r="P74" s="594"/>
      <c r="Q74" s="594"/>
      <c r="R74" s="594"/>
      <c r="S74" s="594"/>
      <c r="T74" s="594"/>
      <c r="U74" s="594"/>
      <c r="V74" s="594"/>
      <c r="W74" s="594"/>
      <c r="X74" s="594"/>
      <c r="Y74" s="595"/>
    </row>
    <row r="75" spans="1:25" ht="9.9499999999999993" customHeight="1" x14ac:dyDescent="0.25">
      <c r="A75" s="549">
        <f t="shared" si="8"/>
        <v>23</v>
      </c>
      <c r="B75" s="548"/>
      <c r="C75" s="215"/>
      <c r="D75" s="215"/>
      <c r="E75" s="215"/>
      <c r="F75" s="215"/>
      <c r="G75" s="216"/>
      <c r="H75" s="215"/>
      <c r="I75" s="215"/>
      <c r="J75" s="215"/>
      <c r="K75" s="215"/>
      <c r="L75" s="216"/>
      <c r="M75" s="590"/>
      <c r="N75" s="591"/>
      <c r="O75" s="591"/>
      <c r="P75" s="591"/>
      <c r="Q75" s="591"/>
      <c r="R75" s="591"/>
      <c r="S75" s="591"/>
      <c r="T75" s="591"/>
      <c r="U75" s="591"/>
      <c r="V75" s="591"/>
      <c r="W75" s="591"/>
      <c r="X75" s="591"/>
      <c r="Y75" s="592"/>
    </row>
    <row r="76" spans="1:25" s="27" customFormat="1" ht="20.100000000000001" customHeight="1" x14ac:dyDescent="0.25">
      <c r="A76" s="550"/>
      <c r="B76" s="548"/>
      <c r="C76" s="585" t="s">
        <v>165</v>
      </c>
      <c r="D76" s="586"/>
      <c r="E76" s="195"/>
      <c r="F76" s="195"/>
      <c r="G76" s="191"/>
      <c r="H76" s="585" t="s">
        <v>165</v>
      </c>
      <c r="I76" s="586"/>
      <c r="J76" s="195"/>
      <c r="K76" s="195"/>
      <c r="L76" s="191"/>
      <c r="M76" s="597"/>
      <c r="N76" s="598"/>
      <c r="O76" s="598"/>
      <c r="P76" s="598"/>
      <c r="Q76" s="598"/>
      <c r="R76" s="598"/>
      <c r="S76" s="598"/>
      <c r="T76" s="598"/>
      <c r="U76" s="598"/>
      <c r="V76" s="598"/>
      <c r="W76" s="598"/>
      <c r="X76" s="598"/>
      <c r="Y76" s="599"/>
    </row>
    <row r="77" spans="1:25" ht="9.9499999999999993" customHeight="1" x14ac:dyDescent="0.25">
      <c r="A77" s="551"/>
      <c r="B77" s="548"/>
      <c r="C77" s="217"/>
      <c r="D77" s="217"/>
      <c r="E77" s="217"/>
      <c r="F77" s="217"/>
      <c r="G77" s="218"/>
      <c r="H77" s="217"/>
      <c r="I77" s="217"/>
      <c r="J77" s="217"/>
      <c r="K77" s="217"/>
      <c r="L77" s="218"/>
      <c r="M77" s="593"/>
      <c r="N77" s="594"/>
      <c r="O77" s="594"/>
      <c r="P77" s="594"/>
      <c r="Q77" s="594"/>
      <c r="R77" s="594"/>
      <c r="S77" s="594"/>
      <c r="T77" s="594"/>
      <c r="U77" s="594"/>
      <c r="V77" s="594"/>
      <c r="W77" s="594"/>
      <c r="X77" s="594"/>
      <c r="Y77" s="595"/>
    </row>
    <row r="78" spans="1:25" ht="9.9499999999999993" customHeight="1" x14ac:dyDescent="0.25">
      <c r="A78" s="549">
        <f t="shared" si="8"/>
        <v>24</v>
      </c>
      <c r="B78" s="548"/>
      <c r="C78" s="215"/>
      <c r="D78" s="215"/>
      <c r="E78" s="215"/>
      <c r="F78" s="215"/>
      <c r="G78" s="216"/>
      <c r="H78" s="215"/>
      <c r="I78" s="215"/>
      <c r="J78" s="215"/>
      <c r="K78" s="215"/>
      <c r="L78" s="216"/>
      <c r="M78" s="590"/>
      <c r="N78" s="591"/>
      <c r="O78" s="591"/>
      <c r="P78" s="591"/>
      <c r="Q78" s="591"/>
      <c r="R78" s="591"/>
      <c r="S78" s="591"/>
      <c r="T78" s="591"/>
      <c r="U78" s="591"/>
      <c r="V78" s="591"/>
      <c r="W78" s="591"/>
      <c r="X78" s="591"/>
      <c r="Y78" s="592"/>
    </row>
    <row r="79" spans="1:25" s="27" customFormat="1" ht="20.100000000000001" customHeight="1" x14ac:dyDescent="0.25">
      <c r="A79" s="550"/>
      <c r="B79" s="548"/>
      <c r="C79" s="585" t="s">
        <v>165</v>
      </c>
      <c r="D79" s="586"/>
      <c r="E79" s="195"/>
      <c r="F79" s="195"/>
      <c r="G79" s="191"/>
      <c r="H79" s="585" t="s">
        <v>165</v>
      </c>
      <c r="I79" s="586"/>
      <c r="J79" s="195"/>
      <c r="K79" s="195"/>
      <c r="L79" s="191"/>
      <c r="M79" s="597"/>
      <c r="N79" s="598"/>
      <c r="O79" s="598"/>
      <c r="P79" s="598"/>
      <c r="Q79" s="598"/>
      <c r="R79" s="598"/>
      <c r="S79" s="598"/>
      <c r="T79" s="598"/>
      <c r="U79" s="598"/>
      <c r="V79" s="598"/>
      <c r="W79" s="598"/>
      <c r="X79" s="598"/>
      <c r="Y79" s="599"/>
    </row>
    <row r="80" spans="1:25" ht="9.9499999999999993" customHeight="1" x14ac:dyDescent="0.25">
      <c r="A80" s="551"/>
      <c r="B80" s="548"/>
      <c r="C80" s="217"/>
      <c r="D80" s="217"/>
      <c r="E80" s="217"/>
      <c r="F80" s="217"/>
      <c r="G80" s="218"/>
      <c r="H80" s="217"/>
      <c r="I80" s="217"/>
      <c r="J80" s="217"/>
      <c r="K80" s="217"/>
      <c r="L80" s="218"/>
      <c r="M80" s="593"/>
      <c r="N80" s="594"/>
      <c r="O80" s="594"/>
      <c r="P80" s="594"/>
      <c r="Q80" s="594"/>
      <c r="R80" s="594"/>
      <c r="S80" s="594"/>
      <c r="T80" s="594"/>
      <c r="U80" s="594"/>
      <c r="V80" s="594"/>
      <c r="W80" s="594"/>
      <c r="X80" s="594"/>
      <c r="Y80" s="595"/>
    </row>
    <row r="81" spans="1:25" ht="9.9499999999999993" customHeight="1" x14ac:dyDescent="0.25">
      <c r="A81" s="549">
        <f t="shared" si="8"/>
        <v>25</v>
      </c>
      <c r="B81" s="548"/>
      <c r="C81" s="215"/>
      <c r="D81" s="215"/>
      <c r="E81" s="215"/>
      <c r="F81" s="215"/>
      <c r="G81" s="216"/>
      <c r="H81" s="215"/>
      <c r="I81" s="215"/>
      <c r="J81" s="215"/>
      <c r="K81" s="215"/>
      <c r="L81" s="216"/>
      <c r="M81" s="590"/>
      <c r="N81" s="591"/>
      <c r="O81" s="591"/>
      <c r="P81" s="591"/>
      <c r="Q81" s="591"/>
      <c r="R81" s="591"/>
      <c r="S81" s="591"/>
      <c r="T81" s="591"/>
      <c r="U81" s="591"/>
      <c r="V81" s="591"/>
      <c r="W81" s="591"/>
      <c r="X81" s="591"/>
      <c r="Y81" s="592"/>
    </row>
    <row r="82" spans="1:25" s="27" customFormat="1" ht="20.100000000000001" customHeight="1" x14ac:dyDescent="0.25">
      <c r="A82" s="550"/>
      <c r="B82" s="548"/>
      <c r="C82" s="585" t="s">
        <v>165</v>
      </c>
      <c r="D82" s="586"/>
      <c r="E82" s="195"/>
      <c r="F82" s="195"/>
      <c r="G82" s="191"/>
      <c r="H82" s="585" t="s">
        <v>165</v>
      </c>
      <c r="I82" s="586"/>
      <c r="J82" s="195"/>
      <c r="K82" s="195"/>
      <c r="L82" s="191"/>
      <c r="M82" s="597"/>
      <c r="N82" s="598"/>
      <c r="O82" s="598"/>
      <c r="P82" s="598"/>
      <c r="Q82" s="598"/>
      <c r="R82" s="598"/>
      <c r="S82" s="598"/>
      <c r="T82" s="598"/>
      <c r="U82" s="598"/>
      <c r="V82" s="598"/>
      <c r="W82" s="598"/>
      <c r="X82" s="598"/>
      <c r="Y82" s="599"/>
    </row>
    <row r="83" spans="1:25" ht="9.9499999999999993" customHeight="1" x14ac:dyDescent="0.25">
      <c r="A83" s="551"/>
      <c r="B83" s="548"/>
      <c r="C83" s="217"/>
      <c r="D83" s="217"/>
      <c r="E83" s="217"/>
      <c r="F83" s="217"/>
      <c r="G83" s="218"/>
      <c r="H83" s="217"/>
      <c r="I83" s="217"/>
      <c r="J83" s="217"/>
      <c r="K83" s="217"/>
      <c r="L83" s="218"/>
      <c r="M83" s="593"/>
      <c r="N83" s="594"/>
      <c r="O83" s="594"/>
      <c r="P83" s="594"/>
      <c r="Q83" s="594"/>
      <c r="R83" s="594"/>
      <c r="S83" s="594"/>
      <c r="T83" s="594"/>
      <c r="U83" s="594"/>
      <c r="V83" s="594"/>
      <c r="W83" s="594"/>
      <c r="X83" s="594"/>
      <c r="Y83" s="595"/>
    </row>
    <row r="84" spans="1:25" ht="9.9499999999999993" customHeight="1" x14ac:dyDescent="0.25">
      <c r="A84" s="549">
        <f t="shared" si="8"/>
        <v>26</v>
      </c>
      <c r="B84" s="548"/>
      <c r="C84" s="215"/>
      <c r="D84" s="215"/>
      <c r="E84" s="215"/>
      <c r="F84" s="215"/>
      <c r="G84" s="216"/>
      <c r="H84" s="215"/>
      <c r="I84" s="215"/>
      <c r="J84" s="215"/>
      <c r="K84" s="215"/>
      <c r="L84" s="216"/>
      <c r="M84" s="590"/>
      <c r="N84" s="591"/>
      <c r="O84" s="591"/>
      <c r="P84" s="591"/>
      <c r="Q84" s="591"/>
      <c r="R84" s="591"/>
      <c r="S84" s="591"/>
      <c r="T84" s="591"/>
      <c r="U84" s="591"/>
      <c r="V84" s="591"/>
      <c r="W84" s="591"/>
      <c r="X84" s="591"/>
      <c r="Y84" s="592"/>
    </row>
    <row r="85" spans="1:25" s="27" customFormat="1" ht="20.100000000000001" customHeight="1" x14ac:dyDescent="0.25">
      <c r="A85" s="550"/>
      <c r="B85" s="548"/>
      <c r="C85" s="585" t="s">
        <v>165</v>
      </c>
      <c r="D85" s="586"/>
      <c r="E85" s="195"/>
      <c r="F85" s="195"/>
      <c r="G85" s="191"/>
      <c r="H85" s="585" t="s">
        <v>165</v>
      </c>
      <c r="I85" s="586"/>
      <c r="J85" s="195"/>
      <c r="K85" s="195"/>
      <c r="L85" s="191"/>
      <c r="M85" s="597"/>
      <c r="N85" s="598"/>
      <c r="O85" s="598"/>
      <c r="P85" s="598"/>
      <c r="Q85" s="598"/>
      <c r="R85" s="598"/>
      <c r="S85" s="598"/>
      <c r="T85" s="598"/>
      <c r="U85" s="598"/>
      <c r="V85" s="598"/>
      <c r="W85" s="598"/>
      <c r="X85" s="598"/>
      <c r="Y85" s="599"/>
    </row>
    <row r="86" spans="1:25" ht="9.9499999999999993" customHeight="1" x14ac:dyDescent="0.25">
      <c r="A86" s="551"/>
      <c r="B86" s="548"/>
      <c r="C86" s="217"/>
      <c r="D86" s="217"/>
      <c r="E86" s="217"/>
      <c r="F86" s="217"/>
      <c r="G86" s="218"/>
      <c r="H86" s="217"/>
      <c r="I86" s="217"/>
      <c r="J86" s="217"/>
      <c r="K86" s="217"/>
      <c r="L86" s="218"/>
      <c r="M86" s="593"/>
      <c r="N86" s="594"/>
      <c r="O86" s="594"/>
      <c r="P86" s="594"/>
      <c r="Q86" s="594"/>
      <c r="R86" s="594"/>
      <c r="S86" s="594"/>
      <c r="T86" s="594"/>
      <c r="U86" s="594"/>
      <c r="V86" s="594"/>
      <c r="W86" s="594"/>
      <c r="X86" s="594"/>
      <c r="Y86" s="595"/>
    </row>
    <row r="87" spans="1:25" ht="9.9499999999999993" customHeight="1" x14ac:dyDescent="0.25">
      <c r="A87" s="549">
        <f t="shared" si="8"/>
        <v>27</v>
      </c>
      <c r="B87" s="548"/>
      <c r="C87" s="215"/>
      <c r="D87" s="215"/>
      <c r="E87" s="215"/>
      <c r="F87" s="215"/>
      <c r="G87" s="216"/>
      <c r="H87" s="215"/>
      <c r="I87" s="215"/>
      <c r="J87" s="215"/>
      <c r="K87" s="215"/>
      <c r="L87" s="216"/>
      <c r="M87" s="590"/>
      <c r="N87" s="591"/>
      <c r="O87" s="591"/>
      <c r="P87" s="591"/>
      <c r="Q87" s="591"/>
      <c r="R87" s="591"/>
      <c r="S87" s="591"/>
      <c r="T87" s="591"/>
      <c r="U87" s="591"/>
      <c r="V87" s="591"/>
      <c r="W87" s="591"/>
      <c r="X87" s="591"/>
      <c r="Y87" s="592"/>
    </row>
    <row r="88" spans="1:25" s="27" customFormat="1" ht="20.100000000000001" customHeight="1" x14ac:dyDescent="0.25">
      <c r="A88" s="550"/>
      <c r="B88" s="548"/>
      <c r="C88" s="585" t="s">
        <v>165</v>
      </c>
      <c r="D88" s="586"/>
      <c r="E88" s="195"/>
      <c r="F88" s="195"/>
      <c r="G88" s="191"/>
      <c r="H88" s="585" t="s">
        <v>165</v>
      </c>
      <c r="I88" s="586"/>
      <c r="J88" s="195"/>
      <c r="K88" s="195"/>
      <c r="L88" s="191"/>
      <c r="M88" s="597"/>
      <c r="N88" s="598"/>
      <c r="O88" s="598"/>
      <c r="P88" s="598"/>
      <c r="Q88" s="598"/>
      <c r="R88" s="598"/>
      <c r="S88" s="598"/>
      <c r="T88" s="598"/>
      <c r="U88" s="598"/>
      <c r="V88" s="598"/>
      <c r="W88" s="598"/>
      <c r="X88" s="598"/>
      <c r="Y88" s="599"/>
    </row>
    <row r="89" spans="1:25" ht="9.9499999999999993" customHeight="1" x14ac:dyDescent="0.25">
      <c r="A89" s="551"/>
      <c r="B89" s="548"/>
      <c r="C89" s="217"/>
      <c r="D89" s="217"/>
      <c r="E89" s="217"/>
      <c r="F89" s="217"/>
      <c r="G89" s="218"/>
      <c r="H89" s="217"/>
      <c r="I89" s="217"/>
      <c r="J89" s="217"/>
      <c r="K89" s="217"/>
      <c r="L89" s="218"/>
      <c r="M89" s="593"/>
      <c r="N89" s="594"/>
      <c r="O89" s="594"/>
      <c r="P89" s="594"/>
      <c r="Q89" s="594"/>
      <c r="R89" s="594"/>
      <c r="S89" s="594"/>
      <c r="T89" s="594"/>
      <c r="U89" s="594"/>
      <c r="V89" s="594"/>
      <c r="W89" s="594"/>
      <c r="X89" s="594"/>
      <c r="Y89" s="595"/>
    </row>
    <row r="90" spans="1:25" ht="9.9499999999999993" customHeight="1" x14ac:dyDescent="0.25">
      <c r="A90" s="549">
        <f t="shared" si="8"/>
        <v>28</v>
      </c>
      <c r="B90" s="548"/>
      <c r="C90" s="215"/>
      <c r="D90" s="215"/>
      <c r="E90" s="215"/>
      <c r="F90" s="215"/>
      <c r="G90" s="216"/>
      <c r="H90" s="215"/>
      <c r="I90" s="215"/>
      <c r="J90" s="215"/>
      <c r="K90" s="215"/>
      <c r="L90" s="216"/>
      <c r="M90" s="590"/>
      <c r="N90" s="591"/>
      <c r="O90" s="591"/>
      <c r="P90" s="591"/>
      <c r="Q90" s="591"/>
      <c r="R90" s="591"/>
      <c r="S90" s="591"/>
      <c r="T90" s="591"/>
      <c r="U90" s="591"/>
      <c r="V90" s="591"/>
      <c r="W90" s="591"/>
      <c r="X90" s="591"/>
      <c r="Y90" s="592"/>
    </row>
    <row r="91" spans="1:25" s="27" customFormat="1" ht="20.100000000000001" customHeight="1" x14ac:dyDescent="0.25">
      <c r="A91" s="550"/>
      <c r="B91" s="548"/>
      <c r="C91" s="585" t="s">
        <v>165</v>
      </c>
      <c r="D91" s="586"/>
      <c r="E91" s="195"/>
      <c r="F91" s="195"/>
      <c r="G91" s="191"/>
      <c r="H91" s="585" t="s">
        <v>165</v>
      </c>
      <c r="I91" s="586"/>
      <c r="J91" s="195"/>
      <c r="K91" s="195"/>
      <c r="L91" s="191"/>
      <c r="M91" s="597"/>
      <c r="N91" s="598"/>
      <c r="O91" s="598"/>
      <c r="P91" s="598"/>
      <c r="Q91" s="598"/>
      <c r="R91" s="598"/>
      <c r="S91" s="598"/>
      <c r="T91" s="598"/>
      <c r="U91" s="598"/>
      <c r="V91" s="598"/>
      <c r="W91" s="598"/>
      <c r="X91" s="598"/>
      <c r="Y91" s="599"/>
    </row>
    <row r="92" spans="1:25" ht="9.9499999999999993" customHeight="1" x14ac:dyDescent="0.25">
      <c r="A92" s="551"/>
      <c r="B92" s="548"/>
      <c r="C92" s="217"/>
      <c r="D92" s="217"/>
      <c r="E92" s="217"/>
      <c r="F92" s="217"/>
      <c r="G92" s="218"/>
      <c r="H92" s="217"/>
      <c r="I92" s="217"/>
      <c r="J92" s="217"/>
      <c r="K92" s="217"/>
      <c r="L92" s="218"/>
      <c r="M92" s="593"/>
      <c r="N92" s="594"/>
      <c r="O92" s="594"/>
      <c r="P92" s="594"/>
      <c r="Q92" s="594"/>
      <c r="R92" s="594"/>
      <c r="S92" s="594"/>
      <c r="T92" s="594"/>
      <c r="U92" s="594"/>
      <c r="V92" s="594"/>
      <c r="W92" s="594"/>
      <c r="X92" s="594"/>
      <c r="Y92" s="595"/>
    </row>
    <row r="93" spans="1:25" ht="9.9499999999999993" customHeight="1" x14ac:dyDescent="0.25">
      <c r="A93" s="549">
        <f t="shared" si="8"/>
        <v>29</v>
      </c>
      <c r="B93" s="548"/>
      <c r="C93" s="215"/>
      <c r="D93" s="215"/>
      <c r="E93" s="215"/>
      <c r="F93" s="215"/>
      <c r="G93" s="216"/>
      <c r="H93" s="215"/>
      <c r="I93" s="215"/>
      <c r="J93" s="215"/>
      <c r="K93" s="215"/>
      <c r="L93" s="216"/>
      <c r="M93" s="590"/>
      <c r="N93" s="591"/>
      <c r="O93" s="591"/>
      <c r="P93" s="591"/>
      <c r="Q93" s="591"/>
      <c r="R93" s="591"/>
      <c r="S93" s="591"/>
      <c r="T93" s="591"/>
      <c r="U93" s="591"/>
      <c r="V93" s="591"/>
      <c r="W93" s="591"/>
      <c r="X93" s="591"/>
      <c r="Y93" s="592"/>
    </row>
    <row r="94" spans="1:25" s="27" customFormat="1" ht="20.100000000000001" customHeight="1" x14ac:dyDescent="0.25">
      <c r="A94" s="550"/>
      <c r="B94" s="548"/>
      <c r="C94" s="585" t="s">
        <v>165</v>
      </c>
      <c r="D94" s="586"/>
      <c r="E94" s="195"/>
      <c r="F94" s="195"/>
      <c r="G94" s="191"/>
      <c r="H94" s="585" t="s">
        <v>165</v>
      </c>
      <c r="I94" s="586"/>
      <c r="J94" s="195"/>
      <c r="K94" s="195"/>
      <c r="L94" s="191"/>
      <c r="M94" s="597"/>
      <c r="N94" s="598"/>
      <c r="O94" s="598"/>
      <c r="P94" s="598"/>
      <c r="Q94" s="598"/>
      <c r="R94" s="598"/>
      <c r="S94" s="598"/>
      <c r="T94" s="598"/>
      <c r="U94" s="598"/>
      <c r="V94" s="598"/>
      <c r="W94" s="598"/>
      <c r="X94" s="598"/>
      <c r="Y94" s="599"/>
    </row>
    <row r="95" spans="1:25" ht="9.9499999999999993" customHeight="1" x14ac:dyDescent="0.25">
      <c r="A95" s="551"/>
      <c r="B95" s="548"/>
      <c r="C95" s="217"/>
      <c r="D95" s="217"/>
      <c r="E95" s="217"/>
      <c r="F95" s="217"/>
      <c r="G95" s="218"/>
      <c r="H95" s="217"/>
      <c r="I95" s="217"/>
      <c r="J95" s="217"/>
      <c r="K95" s="217"/>
      <c r="L95" s="218"/>
      <c r="M95" s="593"/>
      <c r="N95" s="594"/>
      <c r="O95" s="594"/>
      <c r="P95" s="594"/>
      <c r="Q95" s="594"/>
      <c r="R95" s="594"/>
      <c r="S95" s="594"/>
      <c r="T95" s="594"/>
      <c r="U95" s="594"/>
      <c r="V95" s="594"/>
      <c r="W95" s="594"/>
      <c r="X95" s="594"/>
      <c r="Y95" s="595"/>
    </row>
    <row r="96" spans="1:25" ht="9.9499999999999993" customHeight="1" x14ac:dyDescent="0.25">
      <c r="A96" s="549">
        <f t="shared" si="8"/>
        <v>30</v>
      </c>
      <c r="B96" s="548"/>
      <c r="C96" s="215"/>
      <c r="D96" s="215"/>
      <c r="E96" s="215"/>
      <c r="F96" s="215"/>
      <c r="G96" s="216"/>
      <c r="H96" s="215"/>
      <c r="I96" s="215"/>
      <c r="J96" s="215"/>
      <c r="K96" s="215"/>
      <c r="L96" s="216"/>
      <c r="M96" s="590"/>
      <c r="N96" s="591"/>
      <c r="O96" s="591"/>
      <c r="P96" s="591"/>
      <c r="Q96" s="591"/>
      <c r="R96" s="591"/>
      <c r="S96" s="591"/>
      <c r="T96" s="591"/>
      <c r="U96" s="591"/>
      <c r="V96" s="591"/>
      <c r="W96" s="591"/>
      <c r="X96" s="591"/>
      <c r="Y96" s="592"/>
    </row>
    <row r="97" spans="1:25" s="27" customFormat="1" ht="20.100000000000001" customHeight="1" x14ac:dyDescent="0.25">
      <c r="A97" s="550"/>
      <c r="B97" s="548"/>
      <c r="C97" s="585" t="s">
        <v>165</v>
      </c>
      <c r="D97" s="586"/>
      <c r="E97" s="195"/>
      <c r="F97" s="195"/>
      <c r="G97" s="191"/>
      <c r="H97" s="585" t="s">
        <v>165</v>
      </c>
      <c r="I97" s="586"/>
      <c r="J97" s="195"/>
      <c r="K97" s="195"/>
      <c r="L97" s="191"/>
      <c r="M97" s="597"/>
      <c r="N97" s="598"/>
      <c r="O97" s="598"/>
      <c r="P97" s="598"/>
      <c r="Q97" s="598"/>
      <c r="R97" s="598"/>
      <c r="S97" s="598"/>
      <c r="T97" s="598"/>
      <c r="U97" s="598"/>
      <c r="V97" s="598"/>
      <c r="W97" s="598"/>
      <c r="X97" s="598"/>
      <c r="Y97" s="599"/>
    </row>
    <row r="98" spans="1:25" ht="9.9499999999999993" customHeight="1" x14ac:dyDescent="0.25">
      <c r="A98" s="551"/>
      <c r="B98" s="548"/>
      <c r="C98" s="217"/>
      <c r="D98" s="217"/>
      <c r="E98" s="217"/>
      <c r="F98" s="217"/>
      <c r="G98" s="218"/>
      <c r="H98" s="217"/>
      <c r="I98" s="217"/>
      <c r="J98" s="217"/>
      <c r="K98" s="217"/>
      <c r="L98" s="218"/>
      <c r="M98" s="593"/>
      <c r="N98" s="594"/>
      <c r="O98" s="594"/>
      <c r="P98" s="594"/>
      <c r="Q98" s="594"/>
      <c r="R98" s="594"/>
      <c r="S98" s="594"/>
      <c r="T98" s="594"/>
      <c r="U98" s="594"/>
      <c r="V98" s="594"/>
      <c r="W98" s="594"/>
      <c r="X98" s="594"/>
      <c r="Y98" s="595"/>
    </row>
    <row r="99" spans="1:25" ht="9.9499999999999993" customHeight="1" x14ac:dyDescent="0.25">
      <c r="A99" s="549">
        <f t="shared" ref="A99:A126" si="9">1+A96</f>
        <v>31</v>
      </c>
      <c r="B99" s="548"/>
      <c r="C99" s="215"/>
      <c r="D99" s="215"/>
      <c r="E99" s="215"/>
      <c r="F99" s="215"/>
      <c r="G99" s="216"/>
      <c r="H99" s="215"/>
      <c r="I99" s="215"/>
      <c r="J99" s="215"/>
      <c r="K99" s="215"/>
      <c r="L99" s="216"/>
      <c r="M99" s="590"/>
      <c r="N99" s="591"/>
      <c r="O99" s="591"/>
      <c r="P99" s="591"/>
      <c r="Q99" s="591"/>
      <c r="R99" s="591"/>
      <c r="S99" s="591"/>
      <c r="T99" s="591"/>
      <c r="U99" s="591"/>
      <c r="V99" s="591"/>
      <c r="W99" s="591"/>
      <c r="X99" s="591"/>
      <c r="Y99" s="592"/>
    </row>
    <row r="100" spans="1:25" s="27" customFormat="1" ht="20.100000000000001" customHeight="1" x14ac:dyDescent="0.25">
      <c r="A100" s="550"/>
      <c r="B100" s="548"/>
      <c r="C100" s="585" t="s">
        <v>165</v>
      </c>
      <c r="D100" s="586"/>
      <c r="E100" s="195"/>
      <c r="F100" s="195"/>
      <c r="G100" s="191"/>
      <c r="H100" s="585" t="s">
        <v>165</v>
      </c>
      <c r="I100" s="586"/>
      <c r="J100" s="195"/>
      <c r="K100" s="195"/>
      <c r="L100" s="191"/>
      <c r="M100" s="597"/>
      <c r="N100" s="598"/>
      <c r="O100" s="598"/>
      <c r="P100" s="598"/>
      <c r="Q100" s="598"/>
      <c r="R100" s="598"/>
      <c r="S100" s="598"/>
      <c r="T100" s="598"/>
      <c r="U100" s="598"/>
      <c r="V100" s="598"/>
      <c r="W100" s="598"/>
      <c r="X100" s="598"/>
      <c r="Y100" s="599"/>
    </row>
    <row r="101" spans="1:25" ht="9.9499999999999993" customHeight="1" x14ac:dyDescent="0.25">
      <c r="A101" s="551"/>
      <c r="B101" s="548"/>
      <c r="C101" s="217"/>
      <c r="D101" s="217"/>
      <c r="E101" s="217"/>
      <c r="F101" s="217"/>
      <c r="G101" s="218"/>
      <c r="H101" s="217"/>
      <c r="I101" s="217"/>
      <c r="J101" s="217"/>
      <c r="K101" s="217"/>
      <c r="L101" s="218"/>
      <c r="M101" s="593"/>
      <c r="N101" s="594"/>
      <c r="O101" s="594"/>
      <c r="P101" s="594"/>
      <c r="Q101" s="594"/>
      <c r="R101" s="594"/>
      <c r="S101" s="594"/>
      <c r="T101" s="594"/>
      <c r="U101" s="594"/>
      <c r="V101" s="594"/>
      <c r="W101" s="594"/>
      <c r="X101" s="594"/>
      <c r="Y101" s="595"/>
    </row>
    <row r="102" spans="1:25" ht="9.9499999999999993" customHeight="1" x14ac:dyDescent="0.25">
      <c r="A102" s="549">
        <f t="shared" si="9"/>
        <v>32</v>
      </c>
      <c r="B102" s="548"/>
      <c r="C102" s="215"/>
      <c r="D102" s="215"/>
      <c r="E102" s="215"/>
      <c r="F102" s="215"/>
      <c r="G102" s="216"/>
      <c r="H102" s="215"/>
      <c r="I102" s="215"/>
      <c r="J102" s="215"/>
      <c r="K102" s="215"/>
      <c r="L102" s="216"/>
      <c r="M102" s="590"/>
      <c r="N102" s="591"/>
      <c r="O102" s="591"/>
      <c r="P102" s="591"/>
      <c r="Q102" s="591"/>
      <c r="R102" s="591"/>
      <c r="S102" s="591"/>
      <c r="T102" s="591"/>
      <c r="U102" s="591"/>
      <c r="V102" s="591"/>
      <c r="W102" s="591"/>
      <c r="X102" s="591"/>
      <c r="Y102" s="592"/>
    </row>
    <row r="103" spans="1:25" s="27" customFormat="1" ht="20.100000000000001" customHeight="1" x14ac:dyDescent="0.25">
      <c r="A103" s="550"/>
      <c r="B103" s="548"/>
      <c r="C103" s="585" t="s">
        <v>165</v>
      </c>
      <c r="D103" s="586"/>
      <c r="E103" s="195"/>
      <c r="F103" s="195"/>
      <c r="G103" s="191"/>
      <c r="H103" s="585" t="s">
        <v>165</v>
      </c>
      <c r="I103" s="586"/>
      <c r="J103" s="195"/>
      <c r="K103" s="195"/>
      <c r="L103" s="191"/>
      <c r="M103" s="597"/>
      <c r="N103" s="598"/>
      <c r="O103" s="598"/>
      <c r="P103" s="598"/>
      <c r="Q103" s="598"/>
      <c r="R103" s="598"/>
      <c r="S103" s="598"/>
      <c r="T103" s="598"/>
      <c r="U103" s="598"/>
      <c r="V103" s="598"/>
      <c r="W103" s="598"/>
      <c r="X103" s="598"/>
      <c r="Y103" s="599"/>
    </row>
    <row r="104" spans="1:25" ht="9.9499999999999993" customHeight="1" x14ac:dyDescent="0.25">
      <c r="A104" s="551"/>
      <c r="B104" s="548"/>
      <c r="C104" s="217"/>
      <c r="D104" s="217"/>
      <c r="E104" s="217"/>
      <c r="F104" s="217"/>
      <c r="G104" s="218"/>
      <c r="H104" s="217"/>
      <c r="I104" s="217"/>
      <c r="J104" s="217"/>
      <c r="K104" s="217"/>
      <c r="L104" s="218"/>
      <c r="M104" s="593"/>
      <c r="N104" s="594"/>
      <c r="O104" s="594"/>
      <c r="P104" s="594"/>
      <c r="Q104" s="594"/>
      <c r="R104" s="594"/>
      <c r="S104" s="594"/>
      <c r="T104" s="594"/>
      <c r="U104" s="594"/>
      <c r="V104" s="594"/>
      <c r="W104" s="594"/>
      <c r="X104" s="594"/>
      <c r="Y104" s="595"/>
    </row>
    <row r="105" spans="1:25" ht="9.9499999999999993" customHeight="1" x14ac:dyDescent="0.25">
      <c r="A105" s="549">
        <f t="shared" si="9"/>
        <v>33</v>
      </c>
      <c r="B105" s="548"/>
      <c r="C105" s="215"/>
      <c r="D105" s="215"/>
      <c r="E105" s="215"/>
      <c r="F105" s="215"/>
      <c r="G105" s="216"/>
      <c r="H105" s="215"/>
      <c r="I105" s="215"/>
      <c r="J105" s="215"/>
      <c r="K105" s="215"/>
      <c r="L105" s="216"/>
      <c r="M105" s="590"/>
      <c r="N105" s="591"/>
      <c r="O105" s="591"/>
      <c r="P105" s="591"/>
      <c r="Q105" s="591"/>
      <c r="R105" s="591"/>
      <c r="S105" s="591"/>
      <c r="T105" s="591"/>
      <c r="U105" s="591"/>
      <c r="V105" s="591"/>
      <c r="W105" s="591"/>
      <c r="X105" s="591"/>
      <c r="Y105" s="592"/>
    </row>
    <row r="106" spans="1:25" s="27" customFormat="1" ht="20.100000000000001" customHeight="1" x14ac:dyDescent="0.25">
      <c r="A106" s="550"/>
      <c r="B106" s="548"/>
      <c r="C106" s="585" t="s">
        <v>165</v>
      </c>
      <c r="D106" s="586"/>
      <c r="E106" s="195"/>
      <c r="F106" s="195"/>
      <c r="G106" s="191"/>
      <c r="H106" s="585" t="s">
        <v>165</v>
      </c>
      <c r="I106" s="586"/>
      <c r="J106" s="195"/>
      <c r="K106" s="195"/>
      <c r="L106" s="191"/>
      <c r="M106" s="597"/>
      <c r="N106" s="598"/>
      <c r="O106" s="598"/>
      <c r="P106" s="598"/>
      <c r="Q106" s="598"/>
      <c r="R106" s="598"/>
      <c r="S106" s="598"/>
      <c r="T106" s="598"/>
      <c r="U106" s="598"/>
      <c r="V106" s="598"/>
      <c r="W106" s="598"/>
      <c r="X106" s="598"/>
      <c r="Y106" s="599"/>
    </row>
    <row r="107" spans="1:25" ht="9.9499999999999993" customHeight="1" x14ac:dyDescent="0.25">
      <c r="A107" s="551"/>
      <c r="B107" s="548"/>
      <c r="C107" s="217"/>
      <c r="D107" s="217"/>
      <c r="E107" s="217"/>
      <c r="F107" s="217"/>
      <c r="G107" s="218"/>
      <c r="H107" s="217"/>
      <c r="I107" s="217"/>
      <c r="J107" s="217"/>
      <c r="K107" s="217"/>
      <c r="L107" s="218"/>
      <c r="M107" s="593"/>
      <c r="N107" s="594"/>
      <c r="O107" s="594"/>
      <c r="P107" s="594"/>
      <c r="Q107" s="594"/>
      <c r="R107" s="594"/>
      <c r="S107" s="594"/>
      <c r="T107" s="594"/>
      <c r="U107" s="594"/>
      <c r="V107" s="594"/>
      <c r="W107" s="594"/>
      <c r="X107" s="594"/>
      <c r="Y107" s="595"/>
    </row>
    <row r="108" spans="1:25" ht="9.9499999999999993" customHeight="1" x14ac:dyDescent="0.25">
      <c r="A108" s="549">
        <f t="shared" si="9"/>
        <v>34</v>
      </c>
      <c r="B108" s="548"/>
      <c r="C108" s="215"/>
      <c r="D108" s="215"/>
      <c r="E108" s="215"/>
      <c r="F108" s="215"/>
      <c r="G108" s="216"/>
      <c r="H108" s="215"/>
      <c r="I108" s="215"/>
      <c r="J108" s="215"/>
      <c r="K108" s="215"/>
      <c r="L108" s="216"/>
      <c r="M108" s="590"/>
      <c r="N108" s="591"/>
      <c r="O108" s="591"/>
      <c r="P108" s="591"/>
      <c r="Q108" s="591"/>
      <c r="R108" s="591"/>
      <c r="S108" s="591"/>
      <c r="T108" s="591"/>
      <c r="U108" s="591"/>
      <c r="V108" s="591"/>
      <c r="W108" s="591"/>
      <c r="X108" s="591"/>
      <c r="Y108" s="592"/>
    </row>
    <row r="109" spans="1:25" s="27" customFormat="1" ht="20.100000000000001" customHeight="1" x14ac:dyDescent="0.25">
      <c r="A109" s="550"/>
      <c r="B109" s="548"/>
      <c r="C109" s="585" t="s">
        <v>165</v>
      </c>
      <c r="D109" s="586"/>
      <c r="E109" s="195"/>
      <c r="F109" s="195"/>
      <c r="G109" s="191"/>
      <c r="H109" s="585" t="s">
        <v>165</v>
      </c>
      <c r="I109" s="586"/>
      <c r="J109" s="195"/>
      <c r="K109" s="195"/>
      <c r="L109" s="191"/>
      <c r="M109" s="597"/>
      <c r="N109" s="598"/>
      <c r="O109" s="598"/>
      <c r="P109" s="598"/>
      <c r="Q109" s="598"/>
      <c r="R109" s="598"/>
      <c r="S109" s="598"/>
      <c r="T109" s="598"/>
      <c r="U109" s="598"/>
      <c r="V109" s="598"/>
      <c r="W109" s="598"/>
      <c r="X109" s="598"/>
      <c r="Y109" s="599"/>
    </row>
    <row r="110" spans="1:25" ht="9.9499999999999993" customHeight="1" x14ac:dyDescent="0.25">
      <c r="A110" s="551"/>
      <c r="B110" s="548"/>
      <c r="C110" s="217"/>
      <c r="D110" s="217"/>
      <c r="E110" s="217"/>
      <c r="F110" s="217"/>
      <c r="G110" s="218"/>
      <c r="H110" s="217"/>
      <c r="I110" s="217"/>
      <c r="J110" s="217"/>
      <c r="K110" s="217"/>
      <c r="L110" s="218"/>
      <c r="M110" s="593"/>
      <c r="N110" s="594"/>
      <c r="O110" s="594"/>
      <c r="P110" s="594"/>
      <c r="Q110" s="594"/>
      <c r="R110" s="594"/>
      <c r="S110" s="594"/>
      <c r="T110" s="594"/>
      <c r="U110" s="594"/>
      <c r="V110" s="594"/>
      <c r="W110" s="594"/>
      <c r="X110" s="594"/>
      <c r="Y110" s="595"/>
    </row>
    <row r="111" spans="1:25" ht="9.9499999999999993" customHeight="1" x14ac:dyDescent="0.25">
      <c r="A111" s="549">
        <f t="shared" si="9"/>
        <v>35</v>
      </c>
      <c r="B111" s="548"/>
      <c r="C111" s="215"/>
      <c r="D111" s="215"/>
      <c r="E111" s="215"/>
      <c r="F111" s="215"/>
      <c r="G111" s="216"/>
      <c r="H111" s="215"/>
      <c r="I111" s="215"/>
      <c r="J111" s="215"/>
      <c r="K111" s="215"/>
      <c r="L111" s="216"/>
      <c r="M111" s="590"/>
      <c r="N111" s="591"/>
      <c r="O111" s="591"/>
      <c r="P111" s="591"/>
      <c r="Q111" s="591"/>
      <c r="R111" s="591"/>
      <c r="S111" s="591"/>
      <c r="T111" s="591"/>
      <c r="U111" s="591"/>
      <c r="V111" s="591"/>
      <c r="W111" s="591"/>
      <c r="X111" s="591"/>
      <c r="Y111" s="592"/>
    </row>
    <row r="112" spans="1:25" s="27" customFormat="1" ht="20.100000000000001" customHeight="1" x14ac:dyDescent="0.25">
      <c r="A112" s="550"/>
      <c r="B112" s="548"/>
      <c r="C112" s="585" t="s">
        <v>165</v>
      </c>
      <c r="D112" s="586"/>
      <c r="E112" s="195"/>
      <c r="F112" s="195"/>
      <c r="G112" s="191"/>
      <c r="H112" s="585" t="s">
        <v>165</v>
      </c>
      <c r="I112" s="586"/>
      <c r="J112" s="195"/>
      <c r="K112" s="195"/>
      <c r="L112" s="191"/>
      <c r="M112" s="597"/>
      <c r="N112" s="598"/>
      <c r="O112" s="598"/>
      <c r="P112" s="598"/>
      <c r="Q112" s="598"/>
      <c r="R112" s="598"/>
      <c r="S112" s="598"/>
      <c r="T112" s="598"/>
      <c r="U112" s="598"/>
      <c r="V112" s="598"/>
      <c r="W112" s="598"/>
      <c r="X112" s="598"/>
      <c r="Y112" s="599"/>
    </row>
    <row r="113" spans="1:25" ht="9.9499999999999993" customHeight="1" x14ac:dyDescent="0.25">
      <c r="A113" s="551"/>
      <c r="B113" s="548"/>
      <c r="C113" s="217"/>
      <c r="D113" s="217"/>
      <c r="E113" s="217"/>
      <c r="F113" s="217"/>
      <c r="G113" s="218"/>
      <c r="H113" s="217"/>
      <c r="I113" s="217"/>
      <c r="J113" s="217"/>
      <c r="K113" s="217"/>
      <c r="L113" s="218"/>
      <c r="M113" s="593"/>
      <c r="N113" s="594"/>
      <c r="O113" s="594"/>
      <c r="P113" s="594"/>
      <c r="Q113" s="594"/>
      <c r="R113" s="594"/>
      <c r="S113" s="594"/>
      <c r="T113" s="594"/>
      <c r="U113" s="594"/>
      <c r="V113" s="594"/>
      <c r="W113" s="594"/>
      <c r="X113" s="594"/>
      <c r="Y113" s="595"/>
    </row>
    <row r="114" spans="1:25" ht="9.9499999999999993" customHeight="1" x14ac:dyDescent="0.25">
      <c r="A114" s="549">
        <f t="shared" si="9"/>
        <v>36</v>
      </c>
      <c r="B114" s="548"/>
      <c r="C114" s="215"/>
      <c r="D114" s="215"/>
      <c r="E114" s="215"/>
      <c r="F114" s="215"/>
      <c r="G114" s="216"/>
      <c r="H114" s="215"/>
      <c r="I114" s="215"/>
      <c r="J114" s="215"/>
      <c r="K114" s="215"/>
      <c r="L114" s="216"/>
      <c r="M114" s="590"/>
      <c r="N114" s="591"/>
      <c r="O114" s="591"/>
      <c r="P114" s="591"/>
      <c r="Q114" s="591"/>
      <c r="R114" s="591"/>
      <c r="S114" s="591"/>
      <c r="T114" s="591"/>
      <c r="U114" s="591"/>
      <c r="V114" s="591"/>
      <c r="W114" s="591"/>
      <c r="X114" s="591"/>
      <c r="Y114" s="592"/>
    </row>
    <row r="115" spans="1:25" s="27" customFormat="1" ht="20.100000000000001" customHeight="1" x14ac:dyDescent="0.25">
      <c r="A115" s="550"/>
      <c r="B115" s="548"/>
      <c r="C115" s="585" t="s">
        <v>165</v>
      </c>
      <c r="D115" s="586"/>
      <c r="E115" s="195"/>
      <c r="F115" s="195"/>
      <c r="G115" s="191"/>
      <c r="H115" s="585" t="s">
        <v>165</v>
      </c>
      <c r="I115" s="586"/>
      <c r="J115" s="195"/>
      <c r="K115" s="195"/>
      <c r="L115" s="191"/>
      <c r="M115" s="597"/>
      <c r="N115" s="598"/>
      <c r="O115" s="598"/>
      <c r="P115" s="598"/>
      <c r="Q115" s="598"/>
      <c r="R115" s="598"/>
      <c r="S115" s="598"/>
      <c r="T115" s="598"/>
      <c r="U115" s="598"/>
      <c r="V115" s="598"/>
      <c r="W115" s="598"/>
      <c r="X115" s="598"/>
      <c r="Y115" s="599"/>
    </row>
    <row r="116" spans="1:25" ht="9.9499999999999993" customHeight="1" x14ac:dyDescent="0.25">
      <c r="A116" s="551"/>
      <c r="B116" s="548"/>
      <c r="C116" s="217"/>
      <c r="D116" s="217"/>
      <c r="E116" s="217"/>
      <c r="F116" s="217"/>
      <c r="G116" s="218"/>
      <c r="H116" s="217"/>
      <c r="I116" s="217"/>
      <c r="J116" s="217"/>
      <c r="K116" s="217"/>
      <c r="L116" s="218"/>
      <c r="M116" s="593"/>
      <c r="N116" s="594"/>
      <c r="O116" s="594"/>
      <c r="P116" s="594"/>
      <c r="Q116" s="594"/>
      <c r="R116" s="594"/>
      <c r="S116" s="594"/>
      <c r="T116" s="594"/>
      <c r="U116" s="594"/>
      <c r="V116" s="594"/>
      <c r="W116" s="594"/>
      <c r="X116" s="594"/>
      <c r="Y116" s="595"/>
    </row>
    <row r="117" spans="1:25" ht="9.9499999999999993" customHeight="1" x14ac:dyDescent="0.25">
      <c r="A117" s="549">
        <f t="shared" si="9"/>
        <v>37</v>
      </c>
      <c r="B117" s="548"/>
      <c r="C117" s="215"/>
      <c r="D117" s="215"/>
      <c r="E117" s="215"/>
      <c r="F117" s="215"/>
      <c r="G117" s="216"/>
      <c r="H117" s="215"/>
      <c r="I117" s="215"/>
      <c r="J117" s="215"/>
      <c r="K117" s="215"/>
      <c r="L117" s="216"/>
      <c r="M117" s="590"/>
      <c r="N117" s="591"/>
      <c r="O117" s="591"/>
      <c r="P117" s="591"/>
      <c r="Q117" s="591"/>
      <c r="R117" s="591"/>
      <c r="S117" s="591"/>
      <c r="T117" s="591"/>
      <c r="U117" s="591"/>
      <c r="V117" s="591"/>
      <c r="W117" s="591"/>
      <c r="X117" s="591"/>
      <c r="Y117" s="592"/>
    </row>
    <row r="118" spans="1:25" s="27" customFormat="1" ht="20.100000000000001" customHeight="1" x14ac:dyDescent="0.25">
      <c r="A118" s="550"/>
      <c r="B118" s="548"/>
      <c r="C118" s="585" t="s">
        <v>165</v>
      </c>
      <c r="D118" s="586"/>
      <c r="E118" s="195"/>
      <c r="F118" s="195"/>
      <c r="G118" s="191"/>
      <c r="H118" s="585" t="s">
        <v>165</v>
      </c>
      <c r="I118" s="586"/>
      <c r="J118" s="195"/>
      <c r="K118" s="195"/>
      <c r="L118" s="191"/>
      <c r="M118" s="597"/>
      <c r="N118" s="598"/>
      <c r="O118" s="598"/>
      <c r="P118" s="598"/>
      <c r="Q118" s="598"/>
      <c r="R118" s="598"/>
      <c r="S118" s="598"/>
      <c r="T118" s="598"/>
      <c r="U118" s="598"/>
      <c r="V118" s="598"/>
      <c r="W118" s="598"/>
      <c r="X118" s="598"/>
      <c r="Y118" s="599"/>
    </row>
    <row r="119" spans="1:25" ht="9.9499999999999993" customHeight="1" x14ac:dyDescent="0.25">
      <c r="A119" s="551"/>
      <c r="B119" s="548"/>
      <c r="C119" s="217"/>
      <c r="D119" s="217"/>
      <c r="E119" s="217"/>
      <c r="F119" s="217"/>
      <c r="G119" s="218"/>
      <c r="H119" s="217"/>
      <c r="I119" s="217"/>
      <c r="J119" s="217"/>
      <c r="K119" s="217"/>
      <c r="L119" s="218"/>
      <c r="M119" s="593"/>
      <c r="N119" s="594"/>
      <c r="O119" s="594"/>
      <c r="P119" s="594"/>
      <c r="Q119" s="594"/>
      <c r="R119" s="594"/>
      <c r="S119" s="594"/>
      <c r="T119" s="594"/>
      <c r="U119" s="594"/>
      <c r="V119" s="594"/>
      <c r="W119" s="594"/>
      <c r="X119" s="594"/>
      <c r="Y119" s="595"/>
    </row>
    <row r="120" spans="1:25" ht="9.9499999999999993" customHeight="1" x14ac:dyDescent="0.25">
      <c r="A120" s="549">
        <f t="shared" si="9"/>
        <v>38</v>
      </c>
      <c r="B120" s="548"/>
      <c r="C120" s="215"/>
      <c r="D120" s="215"/>
      <c r="E120" s="215"/>
      <c r="F120" s="215"/>
      <c r="G120" s="216"/>
      <c r="H120" s="215"/>
      <c r="I120" s="215"/>
      <c r="J120" s="215"/>
      <c r="K120" s="215"/>
      <c r="L120" s="216"/>
      <c r="M120" s="590"/>
      <c r="N120" s="591"/>
      <c r="O120" s="591"/>
      <c r="P120" s="591"/>
      <c r="Q120" s="591"/>
      <c r="R120" s="591"/>
      <c r="S120" s="591"/>
      <c r="T120" s="591"/>
      <c r="U120" s="591"/>
      <c r="V120" s="591"/>
      <c r="W120" s="591"/>
      <c r="X120" s="591"/>
      <c r="Y120" s="592"/>
    </row>
    <row r="121" spans="1:25" s="27" customFormat="1" ht="20.100000000000001" customHeight="1" x14ac:dyDescent="0.25">
      <c r="A121" s="550"/>
      <c r="B121" s="548"/>
      <c r="C121" s="585" t="s">
        <v>165</v>
      </c>
      <c r="D121" s="586"/>
      <c r="E121" s="195"/>
      <c r="F121" s="195"/>
      <c r="G121" s="191"/>
      <c r="H121" s="585" t="s">
        <v>165</v>
      </c>
      <c r="I121" s="586"/>
      <c r="J121" s="195"/>
      <c r="K121" s="195"/>
      <c r="L121" s="191"/>
      <c r="M121" s="597"/>
      <c r="N121" s="598"/>
      <c r="O121" s="598"/>
      <c r="P121" s="598"/>
      <c r="Q121" s="598"/>
      <c r="R121" s="598"/>
      <c r="S121" s="598"/>
      <c r="T121" s="598"/>
      <c r="U121" s="598"/>
      <c r="V121" s="598"/>
      <c r="W121" s="598"/>
      <c r="X121" s="598"/>
      <c r="Y121" s="599"/>
    </row>
    <row r="122" spans="1:25" ht="9.9499999999999993" customHeight="1" x14ac:dyDescent="0.25">
      <c r="A122" s="551"/>
      <c r="B122" s="548"/>
      <c r="C122" s="217"/>
      <c r="D122" s="217"/>
      <c r="E122" s="217"/>
      <c r="F122" s="217"/>
      <c r="G122" s="218"/>
      <c r="H122" s="217"/>
      <c r="I122" s="217"/>
      <c r="J122" s="217"/>
      <c r="K122" s="217"/>
      <c r="L122" s="218"/>
      <c r="M122" s="593"/>
      <c r="N122" s="594"/>
      <c r="O122" s="594"/>
      <c r="P122" s="594"/>
      <c r="Q122" s="594"/>
      <c r="R122" s="594"/>
      <c r="S122" s="594"/>
      <c r="T122" s="594"/>
      <c r="U122" s="594"/>
      <c r="V122" s="594"/>
      <c r="W122" s="594"/>
      <c r="X122" s="594"/>
      <c r="Y122" s="595"/>
    </row>
    <row r="123" spans="1:25" ht="9.9499999999999993" customHeight="1" x14ac:dyDescent="0.25">
      <c r="A123" s="549">
        <f t="shared" si="9"/>
        <v>39</v>
      </c>
      <c r="B123" s="548"/>
      <c r="C123" s="215"/>
      <c r="D123" s="215"/>
      <c r="E123" s="215"/>
      <c r="F123" s="215"/>
      <c r="G123" s="216"/>
      <c r="H123" s="215"/>
      <c r="I123" s="215"/>
      <c r="J123" s="215"/>
      <c r="K123" s="215"/>
      <c r="L123" s="216"/>
      <c r="M123" s="590"/>
      <c r="N123" s="591"/>
      <c r="O123" s="591"/>
      <c r="P123" s="591"/>
      <c r="Q123" s="591"/>
      <c r="R123" s="591"/>
      <c r="S123" s="591"/>
      <c r="T123" s="591"/>
      <c r="U123" s="591"/>
      <c r="V123" s="591"/>
      <c r="W123" s="591"/>
      <c r="X123" s="591"/>
      <c r="Y123" s="592"/>
    </row>
    <row r="124" spans="1:25" s="27" customFormat="1" ht="20.100000000000001" customHeight="1" x14ac:dyDescent="0.25">
      <c r="A124" s="550"/>
      <c r="B124" s="548"/>
      <c r="C124" s="585" t="s">
        <v>165</v>
      </c>
      <c r="D124" s="586"/>
      <c r="E124" s="195"/>
      <c r="F124" s="195"/>
      <c r="G124" s="191"/>
      <c r="H124" s="585" t="s">
        <v>165</v>
      </c>
      <c r="I124" s="586"/>
      <c r="J124" s="195"/>
      <c r="K124" s="195"/>
      <c r="L124" s="191"/>
      <c r="M124" s="597"/>
      <c r="N124" s="598"/>
      <c r="O124" s="598"/>
      <c r="P124" s="598"/>
      <c r="Q124" s="598"/>
      <c r="R124" s="598"/>
      <c r="S124" s="598"/>
      <c r="T124" s="598"/>
      <c r="U124" s="598"/>
      <c r="V124" s="598"/>
      <c r="W124" s="598"/>
      <c r="X124" s="598"/>
      <c r="Y124" s="599"/>
    </row>
    <row r="125" spans="1:25" ht="9.9499999999999993" customHeight="1" x14ac:dyDescent="0.25">
      <c r="A125" s="551"/>
      <c r="B125" s="548"/>
      <c r="C125" s="217"/>
      <c r="D125" s="217"/>
      <c r="E125" s="217"/>
      <c r="F125" s="217"/>
      <c r="G125" s="218"/>
      <c r="H125" s="217"/>
      <c r="I125" s="217"/>
      <c r="J125" s="217"/>
      <c r="K125" s="217"/>
      <c r="L125" s="218"/>
      <c r="M125" s="593"/>
      <c r="N125" s="594"/>
      <c r="O125" s="594"/>
      <c r="P125" s="594"/>
      <c r="Q125" s="594"/>
      <c r="R125" s="594"/>
      <c r="S125" s="594"/>
      <c r="T125" s="594"/>
      <c r="U125" s="594"/>
      <c r="V125" s="594"/>
      <c r="W125" s="594"/>
      <c r="X125" s="594"/>
      <c r="Y125" s="595"/>
    </row>
    <row r="126" spans="1:25" ht="9.9499999999999993" customHeight="1" x14ac:dyDescent="0.25">
      <c r="A126" s="549">
        <f t="shared" si="9"/>
        <v>40</v>
      </c>
      <c r="B126" s="548"/>
      <c r="C126" s="215"/>
      <c r="D126" s="215"/>
      <c r="E126" s="215"/>
      <c r="F126" s="215"/>
      <c r="G126" s="216"/>
      <c r="H126" s="215"/>
      <c r="I126" s="215"/>
      <c r="J126" s="215"/>
      <c r="K126" s="215"/>
      <c r="L126" s="216"/>
      <c r="M126" s="590"/>
      <c r="N126" s="591"/>
      <c r="O126" s="591"/>
      <c r="P126" s="591"/>
      <c r="Q126" s="591"/>
      <c r="R126" s="591"/>
      <c r="S126" s="591"/>
      <c r="T126" s="591"/>
      <c r="U126" s="591"/>
      <c r="V126" s="591"/>
      <c r="W126" s="591"/>
      <c r="X126" s="591"/>
      <c r="Y126" s="592"/>
    </row>
    <row r="127" spans="1:25" s="27" customFormat="1" ht="20.100000000000001" customHeight="1" x14ac:dyDescent="0.25">
      <c r="A127" s="550"/>
      <c r="B127" s="548"/>
      <c r="C127" s="585" t="s">
        <v>165</v>
      </c>
      <c r="D127" s="586"/>
      <c r="E127" s="195"/>
      <c r="F127" s="195"/>
      <c r="G127" s="191"/>
      <c r="H127" s="585" t="s">
        <v>165</v>
      </c>
      <c r="I127" s="586"/>
      <c r="J127" s="195"/>
      <c r="K127" s="195"/>
      <c r="L127" s="191"/>
      <c r="M127" s="597"/>
      <c r="N127" s="598"/>
      <c r="O127" s="598"/>
      <c r="P127" s="598"/>
      <c r="Q127" s="598"/>
      <c r="R127" s="598"/>
      <c r="S127" s="598"/>
      <c r="T127" s="598"/>
      <c r="U127" s="598"/>
      <c r="V127" s="598"/>
      <c r="W127" s="598"/>
      <c r="X127" s="598"/>
      <c r="Y127" s="599"/>
    </row>
    <row r="128" spans="1:25" ht="9.9499999999999993" customHeight="1" x14ac:dyDescent="0.25">
      <c r="A128" s="551"/>
      <c r="B128" s="548"/>
      <c r="C128" s="217"/>
      <c r="D128" s="217"/>
      <c r="E128" s="217"/>
      <c r="F128" s="217"/>
      <c r="G128" s="218"/>
      <c r="H128" s="217"/>
      <c r="I128" s="217"/>
      <c r="J128" s="217"/>
      <c r="K128" s="217"/>
      <c r="L128" s="218"/>
      <c r="M128" s="593"/>
      <c r="N128" s="594"/>
      <c r="O128" s="594"/>
      <c r="P128" s="594"/>
      <c r="Q128" s="594"/>
      <c r="R128" s="594"/>
      <c r="S128" s="594"/>
      <c r="T128" s="594"/>
      <c r="U128" s="594"/>
      <c r="V128" s="594"/>
      <c r="W128" s="594"/>
      <c r="X128" s="594"/>
      <c r="Y128" s="595"/>
    </row>
  </sheetData>
  <mergeCells count="224">
    <mergeCell ref="A123:A125"/>
    <mergeCell ref="B123:B125"/>
    <mergeCell ref="M123:Y125"/>
    <mergeCell ref="C124:D124"/>
    <mergeCell ref="H124:I124"/>
    <mergeCell ref="A126:A128"/>
    <mergeCell ref="B126:B128"/>
    <mergeCell ref="M126:Y128"/>
    <mergeCell ref="C127:D127"/>
    <mergeCell ref="H127:I127"/>
    <mergeCell ref="A117:A119"/>
    <mergeCell ref="B117:B119"/>
    <mergeCell ref="M117:Y119"/>
    <mergeCell ref="C118:D118"/>
    <mergeCell ref="H118:I118"/>
    <mergeCell ref="A120:A122"/>
    <mergeCell ref="B120:B122"/>
    <mergeCell ref="M120:Y122"/>
    <mergeCell ref="C121:D121"/>
    <mergeCell ref="H121:I121"/>
    <mergeCell ref="A111:A113"/>
    <mergeCell ref="B111:B113"/>
    <mergeCell ref="M111:Y113"/>
    <mergeCell ref="C112:D112"/>
    <mergeCell ref="H112:I112"/>
    <mergeCell ref="A114:A116"/>
    <mergeCell ref="B114:B116"/>
    <mergeCell ref="M114:Y116"/>
    <mergeCell ref="C115:D115"/>
    <mergeCell ref="H115:I115"/>
    <mergeCell ref="A105:A107"/>
    <mergeCell ref="B105:B107"/>
    <mergeCell ref="M105:Y107"/>
    <mergeCell ref="C106:D106"/>
    <mergeCell ref="H106:I106"/>
    <mergeCell ref="A108:A110"/>
    <mergeCell ref="B108:B110"/>
    <mergeCell ref="M108:Y110"/>
    <mergeCell ref="C109:D109"/>
    <mergeCell ref="H109:I109"/>
    <mergeCell ref="A99:A101"/>
    <mergeCell ref="B99:B101"/>
    <mergeCell ref="M99:Y101"/>
    <mergeCell ref="C100:D100"/>
    <mergeCell ref="H100:I100"/>
    <mergeCell ref="A102:A104"/>
    <mergeCell ref="B102:B104"/>
    <mergeCell ref="M102:Y104"/>
    <mergeCell ref="C103:D103"/>
    <mergeCell ref="H103:I103"/>
    <mergeCell ref="A93:A95"/>
    <mergeCell ref="B93:B95"/>
    <mergeCell ref="M93:Y95"/>
    <mergeCell ref="C94:D94"/>
    <mergeCell ref="H94:I94"/>
    <mergeCell ref="A96:A98"/>
    <mergeCell ref="B96:B98"/>
    <mergeCell ref="M96:Y98"/>
    <mergeCell ref="C97:D97"/>
    <mergeCell ref="H97:I97"/>
    <mergeCell ref="A87:A89"/>
    <mergeCell ref="B87:B89"/>
    <mergeCell ref="M87:Y89"/>
    <mergeCell ref="C88:D88"/>
    <mergeCell ref="H88:I88"/>
    <mergeCell ref="A90:A92"/>
    <mergeCell ref="B90:B92"/>
    <mergeCell ref="M90:Y92"/>
    <mergeCell ref="C91:D91"/>
    <mergeCell ref="H91:I91"/>
    <mergeCell ref="A81:A83"/>
    <mergeCell ref="B81:B83"/>
    <mergeCell ref="M81:Y83"/>
    <mergeCell ref="C82:D82"/>
    <mergeCell ref="H82:I82"/>
    <mergeCell ref="A84:A86"/>
    <mergeCell ref="B84:B86"/>
    <mergeCell ref="M84:Y86"/>
    <mergeCell ref="C85:D85"/>
    <mergeCell ref="H85:I85"/>
    <mergeCell ref="A75:A77"/>
    <mergeCell ref="B75:B77"/>
    <mergeCell ref="M75:Y77"/>
    <mergeCell ref="C76:D76"/>
    <mergeCell ref="H76:I76"/>
    <mergeCell ref="A78:A80"/>
    <mergeCell ref="B78:B80"/>
    <mergeCell ref="M78:Y80"/>
    <mergeCell ref="C79:D79"/>
    <mergeCell ref="H79:I79"/>
    <mergeCell ref="A69:A71"/>
    <mergeCell ref="B69:B71"/>
    <mergeCell ref="M69:Y71"/>
    <mergeCell ref="C70:D70"/>
    <mergeCell ref="H70:I70"/>
    <mergeCell ref="A72:A74"/>
    <mergeCell ref="B72:B74"/>
    <mergeCell ref="M72:Y74"/>
    <mergeCell ref="C73:D73"/>
    <mergeCell ref="H73:I73"/>
    <mergeCell ref="A63:A65"/>
    <mergeCell ref="B63:B65"/>
    <mergeCell ref="M63:Y65"/>
    <mergeCell ref="C64:D64"/>
    <mergeCell ref="H64:I64"/>
    <mergeCell ref="A66:A68"/>
    <mergeCell ref="B66:B68"/>
    <mergeCell ref="M66:Y68"/>
    <mergeCell ref="C67:D67"/>
    <mergeCell ref="H67:I67"/>
    <mergeCell ref="A57:A59"/>
    <mergeCell ref="B57:B59"/>
    <mergeCell ref="M57:Y59"/>
    <mergeCell ref="C58:D58"/>
    <mergeCell ref="H58:I58"/>
    <mergeCell ref="A60:A62"/>
    <mergeCell ref="B60:B62"/>
    <mergeCell ref="M60:Y62"/>
    <mergeCell ref="C61:D61"/>
    <mergeCell ref="H61:I61"/>
    <mergeCell ref="A51:A53"/>
    <mergeCell ref="B51:B53"/>
    <mergeCell ref="M51:Y53"/>
    <mergeCell ref="C52:D52"/>
    <mergeCell ref="H52:I52"/>
    <mergeCell ref="A54:A56"/>
    <mergeCell ref="B54:B56"/>
    <mergeCell ref="M54:Y56"/>
    <mergeCell ref="C55:D55"/>
    <mergeCell ref="H55:I55"/>
    <mergeCell ref="A45:A47"/>
    <mergeCell ref="B45:B47"/>
    <mergeCell ref="M45:Y47"/>
    <mergeCell ref="C46:D46"/>
    <mergeCell ref="H46:I46"/>
    <mergeCell ref="A48:A50"/>
    <mergeCell ref="B48:B50"/>
    <mergeCell ref="M48:Y50"/>
    <mergeCell ref="C49:D49"/>
    <mergeCell ref="H49:I49"/>
    <mergeCell ref="A39:A41"/>
    <mergeCell ref="B39:B41"/>
    <mergeCell ref="M39:Y41"/>
    <mergeCell ref="C40:D40"/>
    <mergeCell ref="H40:I40"/>
    <mergeCell ref="A42:A44"/>
    <mergeCell ref="B42:B44"/>
    <mergeCell ref="M42:Y44"/>
    <mergeCell ref="C43:D43"/>
    <mergeCell ref="H43:I43"/>
    <mergeCell ref="A33:A35"/>
    <mergeCell ref="B33:B35"/>
    <mergeCell ref="M33:Y35"/>
    <mergeCell ref="C34:D34"/>
    <mergeCell ref="H34:I34"/>
    <mergeCell ref="A36:A38"/>
    <mergeCell ref="B36:B38"/>
    <mergeCell ref="M36:Y38"/>
    <mergeCell ref="C37:D37"/>
    <mergeCell ref="H37:I37"/>
    <mergeCell ref="A27:A29"/>
    <mergeCell ref="B27:B29"/>
    <mergeCell ref="M27:Y29"/>
    <mergeCell ref="C28:D28"/>
    <mergeCell ref="H28:I28"/>
    <mergeCell ref="A30:A32"/>
    <mergeCell ref="B30:B32"/>
    <mergeCell ref="M30:Y32"/>
    <mergeCell ref="C31:D31"/>
    <mergeCell ref="H31:I31"/>
    <mergeCell ref="A21:A23"/>
    <mergeCell ref="B21:B23"/>
    <mergeCell ref="M21:Y23"/>
    <mergeCell ref="C22:D22"/>
    <mergeCell ref="H22:I22"/>
    <mergeCell ref="A24:A26"/>
    <mergeCell ref="B24:B26"/>
    <mergeCell ref="M24:Y26"/>
    <mergeCell ref="C25:D25"/>
    <mergeCell ref="H25:I25"/>
    <mergeCell ref="A15:A17"/>
    <mergeCell ref="B15:B17"/>
    <mergeCell ref="M15:Y17"/>
    <mergeCell ref="C16:D16"/>
    <mergeCell ref="H16:I16"/>
    <mergeCell ref="A18:A20"/>
    <mergeCell ref="B18:B20"/>
    <mergeCell ref="M18:Y20"/>
    <mergeCell ref="C19:D19"/>
    <mergeCell ref="H19:I19"/>
    <mergeCell ref="A9:A11"/>
    <mergeCell ref="B9:B11"/>
    <mergeCell ref="M9:Y11"/>
    <mergeCell ref="C10:D10"/>
    <mergeCell ref="H10:I10"/>
    <mergeCell ref="A12:A14"/>
    <mergeCell ref="B12:B14"/>
    <mergeCell ref="M12:Y14"/>
    <mergeCell ref="C13:D13"/>
    <mergeCell ref="H13:I13"/>
    <mergeCell ref="W5:Y5"/>
    <mergeCell ref="A7:A8"/>
    <mergeCell ref="B7:B8"/>
    <mergeCell ref="C7:G7"/>
    <mergeCell ref="H7:L7"/>
    <mergeCell ref="M7:Y8"/>
    <mergeCell ref="C8:G8"/>
    <mergeCell ref="H8:L8"/>
    <mergeCell ref="A5:B5"/>
    <mergeCell ref="C5:K5"/>
    <mergeCell ref="M5:P5"/>
    <mergeCell ref="Q5:R5"/>
    <mergeCell ref="S5:T5"/>
    <mergeCell ref="U5:V5"/>
    <mergeCell ref="A1:O1"/>
    <mergeCell ref="Q1:Y2"/>
    <mergeCell ref="A2:O2"/>
    <mergeCell ref="A4:B4"/>
    <mergeCell ref="C4:K4"/>
    <mergeCell ref="M4:P4"/>
    <mergeCell ref="Q4:R4"/>
    <mergeCell ref="S4:T4"/>
    <mergeCell ref="U4:V4"/>
    <mergeCell ref="W4:Y4"/>
  </mergeCells>
  <pageMargins left="0.39370078740157483" right="0.39370078740157483" top="0.39370078740157483" bottom="0.78740157480314965" header="0" footer="0.39370078740157483"/>
  <pageSetup paperSize="9" orientation="landscape" horizontalDpi="300" r:id="rId1"/>
  <headerFooter>
    <oddFooter>Страница  &amp;P из &amp;N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28"/>
  <sheetViews>
    <sheetView view="pageBreakPreview" zoomScaleSheetLayoutView="100" workbookViewId="0">
      <selection sqref="A1:O1"/>
    </sheetView>
  </sheetViews>
  <sheetFormatPr defaultColWidth="9.140625" defaultRowHeight="15" x14ac:dyDescent="0.25"/>
  <cols>
    <col min="1" max="1" width="5.7109375" style="14" customWidth="1"/>
    <col min="2" max="2" width="10.7109375" style="14" customWidth="1"/>
    <col min="3" max="3" width="15.7109375" style="14" customWidth="1"/>
    <col min="4" max="4" width="0.85546875" style="14" customWidth="1"/>
    <col min="5" max="6" width="3.28515625" style="14" customWidth="1"/>
    <col min="7" max="7" width="0.85546875" style="14" customWidth="1"/>
    <col min="8" max="8" width="15.7109375" style="14" customWidth="1"/>
    <col min="9" max="9" width="0.85546875" style="14" customWidth="1"/>
    <col min="10" max="11" width="3.28515625" style="14" customWidth="1"/>
    <col min="12" max="12" width="0.85546875" style="14" customWidth="1"/>
    <col min="13" max="25" width="5.7109375" style="14" customWidth="1"/>
    <col min="26" max="16384" width="9.140625" style="14"/>
  </cols>
  <sheetData>
    <row r="1" spans="1:28" ht="21" customHeight="1" x14ac:dyDescent="0.25">
      <c r="A1" s="566" t="str">
        <f>НазваниеПолное</f>
        <v>Ралли "Skoda Rally Weekend - 2017"</v>
      </c>
      <c r="B1" s="567"/>
      <c r="C1" s="567"/>
      <c r="D1" s="567"/>
      <c r="E1" s="567"/>
      <c r="F1" s="567"/>
      <c r="G1" s="567"/>
      <c r="H1" s="567"/>
      <c r="I1" s="567"/>
      <c r="J1" s="567"/>
      <c r="K1" s="567"/>
      <c r="L1" s="567"/>
      <c r="M1" s="567"/>
      <c r="N1" s="567"/>
      <c r="O1" s="568"/>
      <c r="P1" s="193"/>
      <c r="Q1" s="569" t="str">
        <f ca="1">INDIRECT(ADDRESS($AB$1,1,,,"Общее"))</f>
        <v>ДС-3 РД Финиш</v>
      </c>
      <c r="R1" s="569"/>
      <c r="S1" s="569"/>
      <c r="T1" s="569"/>
      <c r="U1" s="569"/>
      <c r="V1" s="569"/>
      <c r="W1" s="569"/>
      <c r="X1" s="569"/>
      <c r="Y1" s="569"/>
      <c r="AA1" s="14" t="s">
        <v>153</v>
      </c>
      <c r="AB1" s="14">
        <v>23</v>
      </c>
    </row>
    <row r="2" spans="1:28" ht="21" customHeight="1" x14ac:dyDescent="0.25">
      <c r="A2" s="570" t="s">
        <v>11</v>
      </c>
      <c r="B2" s="571"/>
      <c r="C2" s="571"/>
      <c r="D2" s="571"/>
      <c r="E2" s="571"/>
      <c r="F2" s="571"/>
      <c r="G2" s="571"/>
      <c r="H2" s="571"/>
      <c r="I2" s="571"/>
      <c r="J2" s="571"/>
      <c r="K2" s="571"/>
      <c r="L2" s="571"/>
      <c r="M2" s="571"/>
      <c r="N2" s="571"/>
      <c r="O2" s="572"/>
      <c r="P2" s="192"/>
      <c r="Q2" s="569"/>
      <c r="R2" s="569"/>
      <c r="S2" s="569"/>
      <c r="T2" s="569"/>
      <c r="U2" s="569"/>
      <c r="V2" s="569"/>
      <c r="W2" s="569"/>
      <c r="X2" s="569"/>
      <c r="Y2" s="569"/>
    </row>
    <row r="3" spans="1:28" ht="2.1" customHeight="1" x14ac:dyDescent="0.25">
      <c r="A3" s="18"/>
      <c r="B3" s="18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2"/>
      <c r="N3" s="182"/>
      <c r="O3" s="182"/>
      <c r="P3" s="182"/>
    </row>
    <row r="4" spans="1:28" ht="20.100000000000001" customHeight="1" x14ac:dyDescent="0.25">
      <c r="A4" s="548" t="s">
        <v>12</v>
      </c>
      <c r="B4" s="548"/>
      <c r="C4" s="573" t="str">
        <f ca="1">INDIRECT(ADDRESS($AB$1,12,,,"Общее"))</f>
        <v>Андронов</v>
      </c>
      <c r="D4" s="573"/>
      <c r="E4" s="573"/>
      <c r="F4" s="573"/>
      <c r="G4" s="573"/>
      <c r="H4" s="573"/>
      <c r="I4" s="573"/>
      <c r="J4" s="573"/>
      <c r="K4" s="573"/>
      <c r="M4" s="548" t="s">
        <v>268</v>
      </c>
      <c r="N4" s="548"/>
      <c r="O4" s="548"/>
      <c r="P4" s="548"/>
      <c r="Q4" s="548" t="s">
        <v>136</v>
      </c>
      <c r="R4" s="548"/>
      <c r="S4" s="554">
        <f ca="1">INDIRECT(ADDRESS($AB$1,9,,,"Общее"))</f>
        <v>0.57029006115611702</v>
      </c>
      <c r="T4" s="554"/>
      <c r="U4" s="548" t="s">
        <v>135</v>
      </c>
      <c r="V4" s="548"/>
      <c r="W4" s="552" t="s">
        <v>164</v>
      </c>
      <c r="X4" s="552"/>
      <c r="Y4" s="552"/>
    </row>
    <row r="5" spans="1:28" ht="20.100000000000001" customHeight="1" x14ac:dyDescent="0.25">
      <c r="A5" s="548" t="s">
        <v>13</v>
      </c>
      <c r="B5" s="548"/>
      <c r="C5" s="548"/>
      <c r="D5" s="548"/>
      <c r="E5" s="548"/>
      <c r="F5" s="548"/>
      <c r="G5" s="548"/>
      <c r="H5" s="548"/>
      <c r="I5" s="548"/>
      <c r="J5" s="548"/>
      <c r="K5" s="548"/>
      <c r="M5" s="548" t="s">
        <v>269</v>
      </c>
      <c r="N5" s="548"/>
      <c r="O5" s="548"/>
      <c r="P5" s="548"/>
      <c r="Q5" s="548" t="s">
        <v>136</v>
      </c>
      <c r="R5" s="548"/>
      <c r="S5" s="554">
        <f ca="1">INDIRECT(ADDRESS($AB$1,11,,,"Общее"))</f>
        <v>0.63039639836783734</v>
      </c>
      <c r="T5" s="554"/>
      <c r="U5" s="548" t="s">
        <v>135</v>
      </c>
      <c r="V5" s="548"/>
      <c r="W5" s="552" t="s">
        <v>164</v>
      </c>
      <c r="X5" s="552"/>
      <c r="Y5" s="552"/>
    </row>
    <row r="6" spans="1:28" ht="2.1" customHeight="1" x14ac:dyDescent="0.25">
      <c r="A6" s="180"/>
      <c r="B6" s="180"/>
      <c r="C6" s="60"/>
      <c r="D6" s="60"/>
      <c r="E6" s="180"/>
      <c r="F6" s="180"/>
      <c r="G6" s="180"/>
      <c r="H6" s="60"/>
      <c r="I6" s="60"/>
      <c r="J6" s="180"/>
      <c r="K6" s="180"/>
      <c r="L6" s="180"/>
      <c r="M6" s="219"/>
      <c r="N6" s="219"/>
      <c r="O6" s="219"/>
      <c r="P6" s="219"/>
    </row>
    <row r="7" spans="1:28" ht="20.100000000000001" customHeight="1" x14ac:dyDescent="0.25">
      <c r="A7" s="553"/>
      <c r="B7" s="548" t="s">
        <v>0</v>
      </c>
      <c r="C7" s="587" t="s">
        <v>38</v>
      </c>
      <c r="D7" s="588"/>
      <c r="E7" s="588"/>
      <c r="F7" s="588"/>
      <c r="G7" s="589"/>
      <c r="H7" s="590" t="s">
        <v>80</v>
      </c>
      <c r="I7" s="591"/>
      <c r="J7" s="591"/>
      <c r="K7" s="591"/>
      <c r="L7" s="591"/>
      <c r="M7" s="591"/>
      <c r="N7" s="591"/>
      <c r="O7" s="591"/>
      <c r="P7" s="591"/>
      <c r="Q7" s="591"/>
      <c r="R7" s="591"/>
      <c r="S7" s="591"/>
      <c r="T7" s="591"/>
      <c r="U7" s="591"/>
      <c r="V7" s="591"/>
      <c r="W7" s="591"/>
      <c r="X7" s="591"/>
      <c r="Y7" s="592"/>
      <c r="AA7" s="14" t="s">
        <v>265</v>
      </c>
    </row>
    <row r="8" spans="1:28" ht="20.100000000000001" customHeight="1" x14ac:dyDescent="0.25">
      <c r="A8" s="553"/>
      <c r="B8" s="548"/>
      <c r="C8" s="587" t="s">
        <v>270</v>
      </c>
      <c r="D8" s="588"/>
      <c r="E8" s="588"/>
      <c r="F8" s="588"/>
      <c r="G8" s="589"/>
      <c r="H8" s="593"/>
      <c r="I8" s="594"/>
      <c r="J8" s="594"/>
      <c r="K8" s="594"/>
      <c r="L8" s="594"/>
      <c r="M8" s="594"/>
      <c r="N8" s="594"/>
      <c r="O8" s="594"/>
      <c r="P8" s="594"/>
      <c r="Q8" s="594"/>
      <c r="R8" s="594"/>
      <c r="S8" s="594"/>
      <c r="T8" s="594"/>
      <c r="U8" s="594"/>
      <c r="V8" s="594"/>
      <c r="W8" s="594"/>
      <c r="X8" s="594"/>
      <c r="Y8" s="595"/>
      <c r="AA8" s="14" t="s">
        <v>266</v>
      </c>
    </row>
    <row r="9" spans="1:28" ht="9.9499999999999993" customHeight="1" x14ac:dyDescent="0.25">
      <c r="A9" s="549">
        <v>1</v>
      </c>
      <c r="B9" s="548"/>
      <c r="C9" s="220"/>
      <c r="D9" s="220"/>
      <c r="E9" s="220"/>
      <c r="F9" s="220"/>
      <c r="G9" s="221"/>
      <c r="H9" s="590"/>
      <c r="I9" s="591"/>
      <c r="J9" s="591"/>
      <c r="K9" s="591"/>
      <c r="L9" s="591"/>
      <c r="M9" s="591"/>
      <c r="N9" s="591"/>
      <c r="O9" s="591"/>
      <c r="P9" s="591"/>
      <c r="Q9" s="591"/>
      <c r="R9" s="591"/>
      <c r="S9" s="591"/>
      <c r="T9" s="591"/>
      <c r="U9" s="591"/>
      <c r="V9" s="591"/>
      <c r="W9" s="591"/>
      <c r="X9" s="591"/>
      <c r="Y9" s="592"/>
    </row>
    <row r="10" spans="1:28" ht="20.100000000000001" customHeight="1" x14ac:dyDescent="0.25">
      <c r="A10" s="550"/>
      <c r="B10" s="548"/>
      <c r="C10" s="585" t="s">
        <v>165</v>
      </c>
      <c r="D10" s="586"/>
      <c r="E10" s="194"/>
      <c r="F10" s="194"/>
      <c r="G10" s="191"/>
      <c r="H10" s="597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  <c r="U10" s="598"/>
      <c r="V10" s="598"/>
      <c r="W10" s="598"/>
      <c r="X10" s="598"/>
      <c r="Y10" s="599"/>
    </row>
    <row r="11" spans="1:28" ht="9.9499999999999993" customHeight="1" x14ac:dyDescent="0.25">
      <c r="A11" s="551"/>
      <c r="B11" s="548"/>
      <c r="C11" s="222"/>
      <c r="D11" s="222"/>
      <c r="E11" s="222"/>
      <c r="F11" s="222"/>
      <c r="G11" s="223"/>
      <c r="H11" s="593"/>
      <c r="I11" s="594"/>
      <c r="J11" s="594"/>
      <c r="K11" s="594"/>
      <c r="L11" s="594"/>
      <c r="M11" s="594"/>
      <c r="N11" s="594"/>
      <c r="O11" s="594"/>
      <c r="P11" s="594"/>
      <c r="Q11" s="594"/>
      <c r="R11" s="594"/>
      <c r="S11" s="594"/>
      <c r="T11" s="594"/>
      <c r="U11" s="594"/>
      <c r="V11" s="594"/>
      <c r="W11" s="594"/>
      <c r="X11" s="594"/>
      <c r="Y11" s="595"/>
    </row>
    <row r="12" spans="1:28" ht="9.9499999999999993" customHeight="1" x14ac:dyDescent="0.25">
      <c r="A12" s="549">
        <f>1+A9</f>
        <v>2</v>
      </c>
      <c r="B12" s="548"/>
      <c r="C12" s="220"/>
      <c r="D12" s="220"/>
      <c r="E12" s="220"/>
      <c r="F12" s="220"/>
      <c r="G12" s="221"/>
      <c r="H12" s="590"/>
      <c r="I12" s="591"/>
      <c r="J12" s="591"/>
      <c r="K12" s="591"/>
      <c r="L12" s="591"/>
      <c r="M12" s="591"/>
      <c r="N12" s="591"/>
      <c r="O12" s="591"/>
      <c r="P12" s="591"/>
      <c r="Q12" s="591"/>
      <c r="R12" s="591"/>
      <c r="S12" s="591"/>
      <c r="T12" s="591"/>
      <c r="U12" s="591"/>
      <c r="V12" s="591"/>
      <c r="W12" s="591"/>
      <c r="X12" s="591"/>
      <c r="Y12" s="592"/>
    </row>
    <row r="13" spans="1:28" ht="20.100000000000001" customHeight="1" x14ac:dyDescent="0.25">
      <c r="A13" s="550"/>
      <c r="B13" s="548"/>
      <c r="C13" s="585" t="s">
        <v>165</v>
      </c>
      <c r="D13" s="586"/>
      <c r="E13" s="194"/>
      <c r="F13" s="194"/>
      <c r="G13" s="191"/>
      <c r="H13" s="597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  <c r="U13" s="598"/>
      <c r="V13" s="598"/>
      <c r="W13" s="598"/>
      <c r="X13" s="598"/>
      <c r="Y13" s="599"/>
    </row>
    <row r="14" spans="1:28" ht="9.9499999999999993" customHeight="1" x14ac:dyDescent="0.25">
      <c r="A14" s="551"/>
      <c r="B14" s="548"/>
      <c r="C14" s="222"/>
      <c r="D14" s="222"/>
      <c r="E14" s="222"/>
      <c r="F14" s="222"/>
      <c r="G14" s="223"/>
      <c r="H14" s="593"/>
      <c r="I14" s="594"/>
      <c r="J14" s="594"/>
      <c r="K14" s="594"/>
      <c r="L14" s="594"/>
      <c r="M14" s="594"/>
      <c r="N14" s="594"/>
      <c r="O14" s="594"/>
      <c r="P14" s="594"/>
      <c r="Q14" s="594"/>
      <c r="R14" s="594"/>
      <c r="S14" s="594"/>
      <c r="T14" s="594"/>
      <c r="U14" s="594"/>
      <c r="V14" s="594"/>
      <c r="W14" s="594"/>
      <c r="X14" s="594"/>
      <c r="Y14" s="595"/>
    </row>
    <row r="15" spans="1:28" ht="9.9499999999999993" customHeight="1" x14ac:dyDescent="0.25">
      <c r="A15" s="549">
        <f>1+A12</f>
        <v>3</v>
      </c>
      <c r="B15" s="548"/>
      <c r="C15" s="220"/>
      <c r="D15" s="220"/>
      <c r="E15" s="220"/>
      <c r="F15" s="220"/>
      <c r="G15" s="221"/>
      <c r="H15" s="590"/>
      <c r="I15" s="591"/>
      <c r="J15" s="591"/>
      <c r="K15" s="591"/>
      <c r="L15" s="591"/>
      <c r="M15" s="591"/>
      <c r="N15" s="591"/>
      <c r="O15" s="591"/>
      <c r="P15" s="591"/>
      <c r="Q15" s="591"/>
      <c r="R15" s="591"/>
      <c r="S15" s="591"/>
      <c r="T15" s="591"/>
      <c r="U15" s="591"/>
      <c r="V15" s="591"/>
      <c r="W15" s="591"/>
      <c r="X15" s="591"/>
      <c r="Y15" s="592"/>
    </row>
    <row r="16" spans="1:28" ht="20.100000000000001" customHeight="1" x14ac:dyDescent="0.25">
      <c r="A16" s="550"/>
      <c r="B16" s="548"/>
      <c r="C16" s="585" t="s">
        <v>165</v>
      </c>
      <c r="D16" s="586"/>
      <c r="E16" s="194"/>
      <c r="F16" s="194"/>
      <c r="G16" s="191"/>
      <c r="H16" s="597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  <c r="U16" s="598"/>
      <c r="V16" s="598"/>
      <c r="W16" s="598"/>
      <c r="X16" s="598"/>
      <c r="Y16" s="599"/>
    </row>
    <row r="17" spans="1:25" ht="9.9499999999999993" customHeight="1" x14ac:dyDescent="0.25">
      <c r="A17" s="551"/>
      <c r="B17" s="548"/>
      <c r="C17" s="222"/>
      <c r="D17" s="222"/>
      <c r="E17" s="222"/>
      <c r="F17" s="222"/>
      <c r="G17" s="223"/>
      <c r="H17" s="593"/>
      <c r="I17" s="594"/>
      <c r="J17" s="594"/>
      <c r="K17" s="594"/>
      <c r="L17" s="594"/>
      <c r="M17" s="594"/>
      <c r="N17" s="594"/>
      <c r="O17" s="594"/>
      <c r="P17" s="594"/>
      <c r="Q17" s="594"/>
      <c r="R17" s="594"/>
      <c r="S17" s="594"/>
      <c r="T17" s="594"/>
      <c r="U17" s="594"/>
      <c r="V17" s="594"/>
      <c r="W17" s="594"/>
      <c r="X17" s="594"/>
      <c r="Y17" s="595"/>
    </row>
    <row r="18" spans="1:25" ht="9.9499999999999993" customHeight="1" x14ac:dyDescent="0.25">
      <c r="A18" s="549">
        <f t="shared" ref="A18" si="0">1+A15</f>
        <v>4</v>
      </c>
      <c r="B18" s="548"/>
      <c r="C18" s="220"/>
      <c r="D18" s="220"/>
      <c r="E18" s="220"/>
      <c r="F18" s="220"/>
      <c r="G18" s="221"/>
      <c r="H18" s="590"/>
      <c r="I18" s="591"/>
      <c r="J18" s="591"/>
      <c r="K18" s="591"/>
      <c r="L18" s="591"/>
      <c r="M18" s="591"/>
      <c r="N18" s="591"/>
      <c r="O18" s="591"/>
      <c r="P18" s="591"/>
      <c r="Q18" s="591"/>
      <c r="R18" s="591"/>
      <c r="S18" s="591"/>
      <c r="T18" s="591"/>
      <c r="U18" s="591"/>
      <c r="V18" s="591"/>
      <c r="W18" s="591"/>
      <c r="X18" s="591"/>
      <c r="Y18" s="592"/>
    </row>
    <row r="19" spans="1:25" ht="20.100000000000001" customHeight="1" x14ac:dyDescent="0.25">
      <c r="A19" s="550"/>
      <c r="B19" s="548"/>
      <c r="C19" s="585" t="s">
        <v>165</v>
      </c>
      <c r="D19" s="586"/>
      <c r="E19" s="194"/>
      <c r="F19" s="194"/>
      <c r="G19" s="191"/>
      <c r="H19" s="597"/>
      <c r="I19" s="598"/>
      <c r="J19" s="598"/>
      <c r="K19" s="598"/>
      <c r="L19" s="598"/>
      <c r="M19" s="598"/>
      <c r="N19" s="598"/>
      <c r="O19" s="598"/>
      <c r="P19" s="598"/>
      <c r="Q19" s="598"/>
      <c r="R19" s="598"/>
      <c r="S19" s="598"/>
      <c r="T19" s="598"/>
      <c r="U19" s="598"/>
      <c r="V19" s="598"/>
      <c r="W19" s="598"/>
      <c r="X19" s="598"/>
      <c r="Y19" s="599"/>
    </row>
    <row r="20" spans="1:25" ht="9.9499999999999993" customHeight="1" x14ac:dyDescent="0.25">
      <c r="A20" s="551"/>
      <c r="B20" s="548"/>
      <c r="C20" s="222"/>
      <c r="D20" s="222"/>
      <c r="E20" s="222"/>
      <c r="F20" s="222"/>
      <c r="G20" s="223"/>
      <c r="H20" s="593"/>
      <c r="I20" s="594"/>
      <c r="J20" s="594"/>
      <c r="K20" s="594"/>
      <c r="L20" s="594"/>
      <c r="M20" s="594"/>
      <c r="N20" s="594"/>
      <c r="O20" s="594"/>
      <c r="P20" s="594"/>
      <c r="Q20" s="594"/>
      <c r="R20" s="594"/>
      <c r="S20" s="594"/>
      <c r="T20" s="594"/>
      <c r="U20" s="594"/>
      <c r="V20" s="594"/>
      <c r="W20" s="594"/>
      <c r="X20" s="594"/>
      <c r="Y20" s="595"/>
    </row>
    <row r="21" spans="1:25" ht="9.9499999999999993" customHeight="1" x14ac:dyDescent="0.25">
      <c r="A21" s="549">
        <f t="shared" ref="A21" si="1">1+A18</f>
        <v>5</v>
      </c>
      <c r="B21" s="548"/>
      <c r="C21" s="220"/>
      <c r="D21" s="220"/>
      <c r="E21" s="220"/>
      <c r="F21" s="220"/>
      <c r="G21" s="221"/>
      <c r="H21" s="590"/>
      <c r="I21" s="591"/>
      <c r="J21" s="591"/>
      <c r="K21" s="591"/>
      <c r="L21" s="591"/>
      <c r="M21" s="591"/>
      <c r="N21" s="591"/>
      <c r="O21" s="591"/>
      <c r="P21" s="591"/>
      <c r="Q21" s="591"/>
      <c r="R21" s="591"/>
      <c r="S21" s="591"/>
      <c r="T21" s="591"/>
      <c r="U21" s="591"/>
      <c r="V21" s="591"/>
      <c r="W21" s="591"/>
      <c r="X21" s="591"/>
      <c r="Y21" s="592"/>
    </row>
    <row r="22" spans="1:25" ht="20.100000000000001" customHeight="1" x14ac:dyDescent="0.25">
      <c r="A22" s="550"/>
      <c r="B22" s="548"/>
      <c r="C22" s="585" t="s">
        <v>165</v>
      </c>
      <c r="D22" s="586"/>
      <c r="E22" s="194"/>
      <c r="F22" s="194"/>
      <c r="G22" s="191"/>
      <c r="H22" s="597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  <c r="U22" s="598"/>
      <c r="V22" s="598"/>
      <c r="W22" s="598"/>
      <c r="X22" s="598"/>
      <c r="Y22" s="599"/>
    </row>
    <row r="23" spans="1:25" ht="9.9499999999999993" customHeight="1" x14ac:dyDescent="0.25">
      <c r="A23" s="551"/>
      <c r="B23" s="548"/>
      <c r="C23" s="222"/>
      <c r="D23" s="222"/>
      <c r="E23" s="222"/>
      <c r="F23" s="222"/>
      <c r="G23" s="223"/>
      <c r="H23" s="593"/>
      <c r="I23" s="594"/>
      <c r="J23" s="594"/>
      <c r="K23" s="594"/>
      <c r="L23" s="594"/>
      <c r="M23" s="594"/>
      <c r="N23" s="594"/>
      <c r="O23" s="594"/>
      <c r="P23" s="594"/>
      <c r="Q23" s="594"/>
      <c r="R23" s="594"/>
      <c r="S23" s="594"/>
      <c r="T23" s="594"/>
      <c r="U23" s="594"/>
      <c r="V23" s="594"/>
      <c r="W23" s="594"/>
      <c r="X23" s="594"/>
      <c r="Y23" s="595"/>
    </row>
    <row r="24" spans="1:25" ht="9.9499999999999993" customHeight="1" x14ac:dyDescent="0.25">
      <c r="A24" s="549">
        <f t="shared" ref="A24" si="2">1+A21</f>
        <v>6</v>
      </c>
      <c r="B24" s="548"/>
      <c r="C24" s="220"/>
      <c r="D24" s="220"/>
      <c r="E24" s="220"/>
      <c r="F24" s="220"/>
      <c r="G24" s="221"/>
      <c r="H24" s="590"/>
      <c r="I24" s="591"/>
      <c r="J24" s="591"/>
      <c r="K24" s="591"/>
      <c r="L24" s="591"/>
      <c r="M24" s="591"/>
      <c r="N24" s="591"/>
      <c r="O24" s="591"/>
      <c r="P24" s="591"/>
      <c r="Q24" s="591"/>
      <c r="R24" s="591"/>
      <c r="S24" s="591"/>
      <c r="T24" s="591"/>
      <c r="U24" s="591"/>
      <c r="V24" s="591"/>
      <c r="W24" s="591"/>
      <c r="X24" s="591"/>
      <c r="Y24" s="592"/>
    </row>
    <row r="25" spans="1:25" ht="20.100000000000001" customHeight="1" x14ac:dyDescent="0.25">
      <c r="A25" s="550"/>
      <c r="B25" s="548"/>
      <c r="C25" s="585" t="s">
        <v>165</v>
      </c>
      <c r="D25" s="586"/>
      <c r="E25" s="194"/>
      <c r="F25" s="194"/>
      <c r="G25" s="191"/>
      <c r="H25" s="597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  <c r="U25" s="598"/>
      <c r="V25" s="598"/>
      <c r="W25" s="598"/>
      <c r="X25" s="598"/>
      <c r="Y25" s="599"/>
    </row>
    <row r="26" spans="1:25" ht="9.9499999999999993" customHeight="1" x14ac:dyDescent="0.25">
      <c r="A26" s="551"/>
      <c r="B26" s="548"/>
      <c r="C26" s="222"/>
      <c r="D26" s="222"/>
      <c r="E26" s="222"/>
      <c r="F26" s="222"/>
      <c r="G26" s="223"/>
      <c r="H26" s="593"/>
      <c r="I26" s="594"/>
      <c r="J26" s="594"/>
      <c r="K26" s="594"/>
      <c r="L26" s="594"/>
      <c r="M26" s="594"/>
      <c r="N26" s="594"/>
      <c r="O26" s="594"/>
      <c r="P26" s="594"/>
      <c r="Q26" s="594"/>
      <c r="R26" s="594"/>
      <c r="S26" s="594"/>
      <c r="T26" s="594"/>
      <c r="U26" s="594"/>
      <c r="V26" s="594"/>
      <c r="W26" s="594"/>
      <c r="X26" s="594"/>
      <c r="Y26" s="595"/>
    </row>
    <row r="27" spans="1:25" ht="9.9499999999999993" customHeight="1" x14ac:dyDescent="0.25">
      <c r="A27" s="549">
        <f t="shared" ref="A27" si="3">1+A24</f>
        <v>7</v>
      </c>
      <c r="B27" s="548"/>
      <c r="C27" s="220"/>
      <c r="D27" s="220"/>
      <c r="E27" s="220"/>
      <c r="F27" s="220"/>
      <c r="G27" s="221"/>
      <c r="H27" s="590"/>
      <c r="I27" s="591"/>
      <c r="J27" s="591"/>
      <c r="K27" s="591"/>
      <c r="L27" s="591"/>
      <c r="M27" s="591"/>
      <c r="N27" s="591"/>
      <c r="O27" s="591"/>
      <c r="P27" s="591"/>
      <c r="Q27" s="591"/>
      <c r="R27" s="591"/>
      <c r="S27" s="591"/>
      <c r="T27" s="591"/>
      <c r="U27" s="591"/>
      <c r="V27" s="591"/>
      <c r="W27" s="591"/>
      <c r="X27" s="591"/>
      <c r="Y27" s="592"/>
    </row>
    <row r="28" spans="1:25" ht="20.100000000000001" customHeight="1" x14ac:dyDescent="0.25">
      <c r="A28" s="550"/>
      <c r="B28" s="548"/>
      <c r="C28" s="585" t="s">
        <v>165</v>
      </c>
      <c r="D28" s="586"/>
      <c r="E28" s="194"/>
      <c r="F28" s="194"/>
      <c r="G28" s="191"/>
      <c r="H28" s="597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  <c r="U28" s="598"/>
      <c r="V28" s="598"/>
      <c r="W28" s="598"/>
      <c r="X28" s="598"/>
      <c r="Y28" s="599"/>
    </row>
    <row r="29" spans="1:25" ht="9.9499999999999993" customHeight="1" x14ac:dyDescent="0.25">
      <c r="A29" s="551"/>
      <c r="B29" s="548"/>
      <c r="C29" s="222"/>
      <c r="D29" s="222"/>
      <c r="E29" s="222"/>
      <c r="F29" s="222"/>
      <c r="G29" s="223"/>
      <c r="H29" s="593"/>
      <c r="I29" s="594"/>
      <c r="J29" s="594"/>
      <c r="K29" s="594"/>
      <c r="L29" s="594"/>
      <c r="M29" s="594"/>
      <c r="N29" s="594"/>
      <c r="O29" s="594"/>
      <c r="P29" s="594"/>
      <c r="Q29" s="594"/>
      <c r="R29" s="594"/>
      <c r="S29" s="594"/>
      <c r="T29" s="594"/>
      <c r="U29" s="594"/>
      <c r="V29" s="594"/>
      <c r="W29" s="594"/>
      <c r="X29" s="594"/>
      <c r="Y29" s="595"/>
    </row>
    <row r="30" spans="1:25" ht="9.9499999999999993" customHeight="1" x14ac:dyDescent="0.25">
      <c r="A30" s="549">
        <f t="shared" ref="A30" si="4">1+A27</f>
        <v>8</v>
      </c>
      <c r="B30" s="548"/>
      <c r="C30" s="220"/>
      <c r="D30" s="220"/>
      <c r="E30" s="220"/>
      <c r="F30" s="220"/>
      <c r="G30" s="221"/>
      <c r="H30" s="590"/>
      <c r="I30" s="591"/>
      <c r="J30" s="591"/>
      <c r="K30" s="591"/>
      <c r="L30" s="591"/>
      <c r="M30" s="591"/>
      <c r="N30" s="591"/>
      <c r="O30" s="591"/>
      <c r="P30" s="591"/>
      <c r="Q30" s="591"/>
      <c r="R30" s="591"/>
      <c r="S30" s="591"/>
      <c r="T30" s="591"/>
      <c r="U30" s="591"/>
      <c r="V30" s="591"/>
      <c r="W30" s="591"/>
      <c r="X30" s="591"/>
      <c r="Y30" s="592"/>
    </row>
    <row r="31" spans="1:25" ht="20.100000000000001" customHeight="1" x14ac:dyDescent="0.25">
      <c r="A31" s="550"/>
      <c r="B31" s="548"/>
      <c r="C31" s="585" t="s">
        <v>165</v>
      </c>
      <c r="D31" s="586"/>
      <c r="E31" s="194"/>
      <c r="F31" s="194"/>
      <c r="G31" s="191"/>
      <c r="H31" s="597"/>
      <c r="I31" s="598"/>
      <c r="J31" s="598"/>
      <c r="K31" s="598"/>
      <c r="L31" s="598"/>
      <c r="M31" s="598"/>
      <c r="N31" s="598"/>
      <c r="O31" s="598"/>
      <c r="P31" s="598"/>
      <c r="Q31" s="598"/>
      <c r="R31" s="598"/>
      <c r="S31" s="598"/>
      <c r="T31" s="598"/>
      <c r="U31" s="598"/>
      <c r="V31" s="598"/>
      <c r="W31" s="598"/>
      <c r="X31" s="598"/>
      <c r="Y31" s="599"/>
    </row>
    <row r="32" spans="1:25" ht="9.9499999999999993" customHeight="1" x14ac:dyDescent="0.25">
      <c r="A32" s="551"/>
      <c r="B32" s="548"/>
      <c r="C32" s="222"/>
      <c r="D32" s="222"/>
      <c r="E32" s="222"/>
      <c r="F32" s="222"/>
      <c r="G32" s="223"/>
      <c r="H32" s="593"/>
      <c r="I32" s="594"/>
      <c r="J32" s="594"/>
      <c r="K32" s="594"/>
      <c r="L32" s="594"/>
      <c r="M32" s="594"/>
      <c r="N32" s="594"/>
      <c r="O32" s="594"/>
      <c r="P32" s="594"/>
      <c r="Q32" s="594"/>
      <c r="R32" s="594"/>
      <c r="S32" s="594"/>
      <c r="T32" s="594"/>
      <c r="U32" s="594"/>
      <c r="V32" s="594"/>
      <c r="W32" s="594"/>
      <c r="X32" s="594"/>
      <c r="Y32" s="595"/>
    </row>
    <row r="33" spans="1:25" ht="9.9499999999999993" customHeight="1" x14ac:dyDescent="0.25">
      <c r="A33" s="549">
        <f t="shared" ref="A33" si="5">1+A30</f>
        <v>9</v>
      </c>
      <c r="B33" s="548"/>
      <c r="C33" s="220"/>
      <c r="D33" s="220"/>
      <c r="E33" s="220"/>
      <c r="F33" s="220"/>
      <c r="G33" s="221"/>
      <c r="H33" s="590"/>
      <c r="I33" s="591"/>
      <c r="J33" s="591"/>
      <c r="K33" s="591"/>
      <c r="L33" s="591"/>
      <c r="M33" s="591"/>
      <c r="N33" s="591"/>
      <c r="O33" s="591"/>
      <c r="P33" s="591"/>
      <c r="Q33" s="591"/>
      <c r="R33" s="591"/>
      <c r="S33" s="591"/>
      <c r="T33" s="591"/>
      <c r="U33" s="591"/>
      <c r="V33" s="591"/>
      <c r="W33" s="591"/>
      <c r="X33" s="591"/>
      <c r="Y33" s="592"/>
    </row>
    <row r="34" spans="1:25" ht="20.100000000000001" customHeight="1" x14ac:dyDescent="0.25">
      <c r="A34" s="550"/>
      <c r="B34" s="548"/>
      <c r="C34" s="585" t="s">
        <v>165</v>
      </c>
      <c r="D34" s="586"/>
      <c r="E34" s="194"/>
      <c r="F34" s="194"/>
      <c r="G34" s="191"/>
      <c r="H34" s="597"/>
      <c r="I34" s="598"/>
      <c r="J34" s="598"/>
      <c r="K34" s="598"/>
      <c r="L34" s="598"/>
      <c r="M34" s="598"/>
      <c r="N34" s="598"/>
      <c r="O34" s="598"/>
      <c r="P34" s="598"/>
      <c r="Q34" s="598"/>
      <c r="R34" s="598"/>
      <c r="S34" s="598"/>
      <c r="T34" s="598"/>
      <c r="U34" s="598"/>
      <c r="V34" s="598"/>
      <c r="W34" s="598"/>
      <c r="X34" s="598"/>
      <c r="Y34" s="599"/>
    </row>
    <row r="35" spans="1:25" ht="9.75" customHeight="1" x14ac:dyDescent="0.25">
      <c r="A35" s="551"/>
      <c r="B35" s="548"/>
      <c r="C35" s="222"/>
      <c r="D35" s="222"/>
      <c r="E35" s="222"/>
      <c r="F35" s="222"/>
      <c r="G35" s="223"/>
      <c r="H35" s="593"/>
      <c r="I35" s="594"/>
      <c r="J35" s="594"/>
      <c r="K35" s="594"/>
      <c r="L35" s="594"/>
      <c r="M35" s="594"/>
      <c r="N35" s="594"/>
      <c r="O35" s="594"/>
      <c r="P35" s="594"/>
      <c r="Q35" s="594"/>
      <c r="R35" s="594"/>
      <c r="S35" s="594"/>
      <c r="T35" s="594"/>
      <c r="U35" s="594"/>
      <c r="V35" s="594"/>
      <c r="W35" s="594"/>
      <c r="X35" s="594"/>
      <c r="Y35" s="595"/>
    </row>
    <row r="36" spans="1:25" ht="9.9499999999999993" customHeight="1" x14ac:dyDescent="0.25">
      <c r="A36" s="549">
        <f t="shared" ref="A36" si="6">1+A33</f>
        <v>10</v>
      </c>
      <c r="B36" s="548"/>
      <c r="C36" s="220"/>
      <c r="D36" s="220"/>
      <c r="E36" s="220"/>
      <c r="F36" s="220"/>
      <c r="G36" s="221"/>
      <c r="H36" s="590"/>
      <c r="I36" s="591"/>
      <c r="J36" s="591"/>
      <c r="K36" s="591"/>
      <c r="L36" s="591"/>
      <c r="M36" s="591"/>
      <c r="N36" s="591"/>
      <c r="O36" s="591"/>
      <c r="P36" s="591"/>
      <c r="Q36" s="591"/>
      <c r="R36" s="591"/>
      <c r="S36" s="591"/>
      <c r="T36" s="591"/>
      <c r="U36" s="591"/>
      <c r="V36" s="591"/>
      <c r="W36" s="591"/>
      <c r="X36" s="591"/>
      <c r="Y36" s="592"/>
    </row>
    <row r="37" spans="1:25" ht="20.100000000000001" customHeight="1" x14ac:dyDescent="0.25">
      <c r="A37" s="550"/>
      <c r="B37" s="548"/>
      <c r="C37" s="585" t="s">
        <v>165</v>
      </c>
      <c r="D37" s="586"/>
      <c r="E37" s="194"/>
      <c r="F37" s="194"/>
      <c r="G37" s="191"/>
      <c r="H37" s="597"/>
      <c r="I37" s="598"/>
      <c r="J37" s="598"/>
      <c r="K37" s="598"/>
      <c r="L37" s="598"/>
      <c r="M37" s="598"/>
      <c r="N37" s="598"/>
      <c r="O37" s="598"/>
      <c r="P37" s="598"/>
      <c r="Q37" s="598"/>
      <c r="R37" s="598"/>
      <c r="S37" s="598"/>
      <c r="T37" s="598"/>
      <c r="U37" s="598"/>
      <c r="V37" s="598"/>
      <c r="W37" s="598"/>
      <c r="X37" s="598"/>
      <c r="Y37" s="599"/>
    </row>
    <row r="38" spans="1:25" ht="9.9499999999999993" customHeight="1" x14ac:dyDescent="0.25">
      <c r="A38" s="551"/>
      <c r="B38" s="548"/>
      <c r="C38" s="222"/>
      <c r="D38" s="222"/>
      <c r="E38" s="222"/>
      <c r="F38" s="222"/>
      <c r="G38" s="223"/>
      <c r="H38" s="593"/>
      <c r="I38" s="594"/>
      <c r="J38" s="594"/>
      <c r="K38" s="594"/>
      <c r="L38" s="594"/>
      <c r="M38" s="594"/>
      <c r="N38" s="594"/>
      <c r="O38" s="594"/>
      <c r="P38" s="594"/>
      <c r="Q38" s="594"/>
      <c r="R38" s="594"/>
      <c r="S38" s="594"/>
      <c r="T38" s="594"/>
      <c r="U38" s="594"/>
      <c r="V38" s="594"/>
      <c r="W38" s="594"/>
      <c r="X38" s="594"/>
      <c r="Y38" s="595"/>
    </row>
    <row r="39" spans="1:25" ht="9.9499999999999993" customHeight="1" x14ac:dyDescent="0.25">
      <c r="A39" s="549">
        <f t="shared" ref="A39:A66" si="7">1+A36</f>
        <v>11</v>
      </c>
      <c r="B39" s="548"/>
      <c r="C39" s="220"/>
      <c r="D39" s="220"/>
      <c r="E39" s="220"/>
      <c r="F39" s="220"/>
      <c r="G39" s="221"/>
      <c r="H39" s="590"/>
      <c r="I39" s="591"/>
      <c r="J39" s="591"/>
      <c r="K39" s="591"/>
      <c r="L39" s="591"/>
      <c r="M39" s="591"/>
      <c r="N39" s="591"/>
      <c r="O39" s="591"/>
      <c r="P39" s="591"/>
      <c r="Q39" s="591"/>
      <c r="R39" s="591"/>
      <c r="S39" s="591"/>
      <c r="T39" s="591"/>
      <c r="U39" s="591"/>
      <c r="V39" s="591"/>
      <c r="W39" s="591"/>
      <c r="X39" s="591"/>
      <c r="Y39" s="592"/>
    </row>
    <row r="40" spans="1:25" ht="20.100000000000001" customHeight="1" x14ac:dyDescent="0.25">
      <c r="A40" s="550"/>
      <c r="B40" s="548"/>
      <c r="C40" s="585" t="s">
        <v>165</v>
      </c>
      <c r="D40" s="586"/>
      <c r="E40" s="194"/>
      <c r="F40" s="194"/>
      <c r="G40" s="191"/>
      <c r="H40" s="597"/>
      <c r="I40" s="598"/>
      <c r="J40" s="598"/>
      <c r="K40" s="598"/>
      <c r="L40" s="598"/>
      <c r="M40" s="598"/>
      <c r="N40" s="598"/>
      <c r="O40" s="598"/>
      <c r="P40" s="598"/>
      <c r="Q40" s="598"/>
      <c r="R40" s="598"/>
      <c r="S40" s="598"/>
      <c r="T40" s="598"/>
      <c r="U40" s="598"/>
      <c r="V40" s="598"/>
      <c r="W40" s="598"/>
      <c r="X40" s="598"/>
      <c r="Y40" s="599"/>
    </row>
    <row r="41" spans="1:25" ht="9.9499999999999993" customHeight="1" x14ac:dyDescent="0.25">
      <c r="A41" s="551"/>
      <c r="B41" s="548"/>
      <c r="C41" s="222"/>
      <c r="D41" s="222"/>
      <c r="E41" s="222"/>
      <c r="F41" s="222"/>
      <c r="G41" s="223"/>
      <c r="H41" s="593"/>
      <c r="I41" s="594"/>
      <c r="J41" s="594"/>
      <c r="K41" s="594"/>
      <c r="L41" s="594"/>
      <c r="M41" s="594"/>
      <c r="N41" s="594"/>
      <c r="O41" s="594"/>
      <c r="P41" s="594"/>
      <c r="Q41" s="594"/>
      <c r="R41" s="594"/>
      <c r="S41" s="594"/>
      <c r="T41" s="594"/>
      <c r="U41" s="594"/>
      <c r="V41" s="594"/>
      <c r="W41" s="594"/>
      <c r="X41" s="594"/>
      <c r="Y41" s="595"/>
    </row>
    <row r="42" spans="1:25" ht="9.9499999999999993" customHeight="1" x14ac:dyDescent="0.25">
      <c r="A42" s="549">
        <f t="shared" si="7"/>
        <v>12</v>
      </c>
      <c r="B42" s="548"/>
      <c r="C42" s="220"/>
      <c r="D42" s="220"/>
      <c r="E42" s="220"/>
      <c r="F42" s="220"/>
      <c r="G42" s="221"/>
      <c r="H42" s="590"/>
      <c r="I42" s="591"/>
      <c r="J42" s="591"/>
      <c r="K42" s="591"/>
      <c r="L42" s="591"/>
      <c r="M42" s="591"/>
      <c r="N42" s="591"/>
      <c r="O42" s="591"/>
      <c r="P42" s="591"/>
      <c r="Q42" s="591"/>
      <c r="R42" s="591"/>
      <c r="S42" s="591"/>
      <c r="T42" s="591"/>
      <c r="U42" s="591"/>
      <c r="V42" s="591"/>
      <c r="W42" s="591"/>
      <c r="X42" s="591"/>
      <c r="Y42" s="592"/>
    </row>
    <row r="43" spans="1:25" ht="20.100000000000001" customHeight="1" x14ac:dyDescent="0.25">
      <c r="A43" s="550"/>
      <c r="B43" s="548"/>
      <c r="C43" s="585" t="s">
        <v>165</v>
      </c>
      <c r="D43" s="586"/>
      <c r="E43" s="194"/>
      <c r="F43" s="194"/>
      <c r="G43" s="191"/>
      <c r="H43" s="597"/>
      <c r="I43" s="598"/>
      <c r="J43" s="598"/>
      <c r="K43" s="598"/>
      <c r="L43" s="598"/>
      <c r="M43" s="598"/>
      <c r="N43" s="598"/>
      <c r="O43" s="598"/>
      <c r="P43" s="598"/>
      <c r="Q43" s="598"/>
      <c r="R43" s="598"/>
      <c r="S43" s="598"/>
      <c r="T43" s="598"/>
      <c r="U43" s="598"/>
      <c r="V43" s="598"/>
      <c r="W43" s="598"/>
      <c r="X43" s="598"/>
      <c r="Y43" s="599"/>
    </row>
    <row r="44" spans="1:25" ht="9.9499999999999993" customHeight="1" x14ac:dyDescent="0.25">
      <c r="A44" s="551"/>
      <c r="B44" s="548"/>
      <c r="C44" s="222"/>
      <c r="D44" s="222"/>
      <c r="E44" s="222"/>
      <c r="F44" s="222"/>
      <c r="G44" s="223"/>
      <c r="H44" s="593"/>
      <c r="I44" s="594"/>
      <c r="J44" s="594"/>
      <c r="K44" s="594"/>
      <c r="L44" s="594"/>
      <c r="M44" s="594"/>
      <c r="N44" s="594"/>
      <c r="O44" s="594"/>
      <c r="P44" s="594"/>
      <c r="Q44" s="594"/>
      <c r="R44" s="594"/>
      <c r="S44" s="594"/>
      <c r="T44" s="594"/>
      <c r="U44" s="594"/>
      <c r="V44" s="594"/>
      <c r="W44" s="594"/>
      <c r="X44" s="594"/>
      <c r="Y44" s="595"/>
    </row>
    <row r="45" spans="1:25" ht="9.9499999999999993" customHeight="1" x14ac:dyDescent="0.25">
      <c r="A45" s="549">
        <f t="shared" si="7"/>
        <v>13</v>
      </c>
      <c r="B45" s="548"/>
      <c r="C45" s="220"/>
      <c r="D45" s="220"/>
      <c r="E45" s="220"/>
      <c r="F45" s="220"/>
      <c r="G45" s="221"/>
      <c r="H45" s="590"/>
      <c r="I45" s="591"/>
      <c r="J45" s="591"/>
      <c r="K45" s="591"/>
      <c r="L45" s="591"/>
      <c r="M45" s="591"/>
      <c r="N45" s="591"/>
      <c r="O45" s="591"/>
      <c r="P45" s="591"/>
      <c r="Q45" s="591"/>
      <c r="R45" s="591"/>
      <c r="S45" s="591"/>
      <c r="T45" s="591"/>
      <c r="U45" s="591"/>
      <c r="V45" s="591"/>
      <c r="W45" s="591"/>
      <c r="X45" s="591"/>
      <c r="Y45" s="592"/>
    </row>
    <row r="46" spans="1:25" ht="20.100000000000001" customHeight="1" x14ac:dyDescent="0.25">
      <c r="A46" s="550"/>
      <c r="B46" s="548"/>
      <c r="C46" s="585" t="s">
        <v>165</v>
      </c>
      <c r="D46" s="586"/>
      <c r="E46" s="194"/>
      <c r="F46" s="194"/>
      <c r="G46" s="191"/>
      <c r="H46" s="597"/>
      <c r="I46" s="598"/>
      <c r="J46" s="598"/>
      <c r="K46" s="598"/>
      <c r="L46" s="598"/>
      <c r="M46" s="598"/>
      <c r="N46" s="598"/>
      <c r="O46" s="598"/>
      <c r="P46" s="598"/>
      <c r="Q46" s="598"/>
      <c r="R46" s="598"/>
      <c r="S46" s="598"/>
      <c r="T46" s="598"/>
      <c r="U46" s="598"/>
      <c r="V46" s="598"/>
      <c r="W46" s="598"/>
      <c r="X46" s="598"/>
      <c r="Y46" s="599"/>
    </row>
    <row r="47" spans="1:25" ht="9.9499999999999993" customHeight="1" x14ac:dyDescent="0.25">
      <c r="A47" s="551"/>
      <c r="B47" s="548"/>
      <c r="C47" s="222"/>
      <c r="D47" s="222"/>
      <c r="E47" s="222"/>
      <c r="F47" s="222"/>
      <c r="G47" s="223"/>
      <c r="H47" s="593"/>
      <c r="I47" s="594"/>
      <c r="J47" s="594"/>
      <c r="K47" s="594"/>
      <c r="L47" s="594"/>
      <c r="M47" s="594"/>
      <c r="N47" s="594"/>
      <c r="O47" s="594"/>
      <c r="P47" s="594"/>
      <c r="Q47" s="594"/>
      <c r="R47" s="594"/>
      <c r="S47" s="594"/>
      <c r="T47" s="594"/>
      <c r="U47" s="594"/>
      <c r="V47" s="594"/>
      <c r="W47" s="594"/>
      <c r="X47" s="594"/>
      <c r="Y47" s="595"/>
    </row>
    <row r="48" spans="1:25" ht="9.9499999999999993" customHeight="1" x14ac:dyDescent="0.25">
      <c r="A48" s="549">
        <f t="shared" si="7"/>
        <v>14</v>
      </c>
      <c r="B48" s="548"/>
      <c r="C48" s="220"/>
      <c r="D48" s="220"/>
      <c r="E48" s="220"/>
      <c r="F48" s="220"/>
      <c r="G48" s="221"/>
      <c r="H48" s="590"/>
      <c r="I48" s="591"/>
      <c r="J48" s="591"/>
      <c r="K48" s="591"/>
      <c r="L48" s="591"/>
      <c r="M48" s="591"/>
      <c r="N48" s="591"/>
      <c r="O48" s="591"/>
      <c r="P48" s="591"/>
      <c r="Q48" s="591"/>
      <c r="R48" s="591"/>
      <c r="S48" s="591"/>
      <c r="T48" s="591"/>
      <c r="U48" s="591"/>
      <c r="V48" s="591"/>
      <c r="W48" s="591"/>
      <c r="X48" s="591"/>
      <c r="Y48" s="592"/>
    </row>
    <row r="49" spans="1:25" ht="20.100000000000001" customHeight="1" x14ac:dyDescent="0.25">
      <c r="A49" s="550"/>
      <c r="B49" s="548"/>
      <c r="C49" s="585" t="s">
        <v>165</v>
      </c>
      <c r="D49" s="586"/>
      <c r="E49" s="194"/>
      <c r="F49" s="194"/>
      <c r="G49" s="191"/>
      <c r="H49" s="597"/>
      <c r="I49" s="598"/>
      <c r="J49" s="598"/>
      <c r="K49" s="598"/>
      <c r="L49" s="598"/>
      <c r="M49" s="598"/>
      <c r="N49" s="598"/>
      <c r="O49" s="598"/>
      <c r="P49" s="598"/>
      <c r="Q49" s="598"/>
      <c r="R49" s="598"/>
      <c r="S49" s="598"/>
      <c r="T49" s="598"/>
      <c r="U49" s="598"/>
      <c r="V49" s="598"/>
      <c r="W49" s="598"/>
      <c r="X49" s="598"/>
      <c r="Y49" s="599"/>
    </row>
    <row r="50" spans="1:25" ht="9.9499999999999993" customHeight="1" x14ac:dyDescent="0.25">
      <c r="A50" s="551"/>
      <c r="B50" s="548"/>
      <c r="C50" s="222"/>
      <c r="D50" s="222"/>
      <c r="E50" s="222"/>
      <c r="F50" s="222"/>
      <c r="G50" s="223"/>
      <c r="H50" s="593"/>
      <c r="I50" s="594"/>
      <c r="J50" s="594"/>
      <c r="K50" s="594"/>
      <c r="L50" s="594"/>
      <c r="M50" s="594"/>
      <c r="N50" s="594"/>
      <c r="O50" s="594"/>
      <c r="P50" s="594"/>
      <c r="Q50" s="594"/>
      <c r="R50" s="594"/>
      <c r="S50" s="594"/>
      <c r="T50" s="594"/>
      <c r="U50" s="594"/>
      <c r="V50" s="594"/>
      <c r="W50" s="594"/>
      <c r="X50" s="594"/>
      <c r="Y50" s="595"/>
    </row>
    <row r="51" spans="1:25" ht="9.9499999999999993" customHeight="1" x14ac:dyDescent="0.25">
      <c r="A51" s="549">
        <f t="shared" si="7"/>
        <v>15</v>
      </c>
      <c r="B51" s="548"/>
      <c r="C51" s="220"/>
      <c r="D51" s="220"/>
      <c r="E51" s="220"/>
      <c r="F51" s="220"/>
      <c r="G51" s="221"/>
      <c r="H51" s="590"/>
      <c r="I51" s="591"/>
      <c r="J51" s="591"/>
      <c r="K51" s="591"/>
      <c r="L51" s="591"/>
      <c r="M51" s="591"/>
      <c r="N51" s="591"/>
      <c r="O51" s="591"/>
      <c r="P51" s="591"/>
      <c r="Q51" s="591"/>
      <c r="R51" s="591"/>
      <c r="S51" s="591"/>
      <c r="T51" s="591"/>
      <c r="U51" s="591"/>
      <c r="V51" s="591"/>
      <c r="W51" s="591"/>
      <c r="X51" s="591"/>
      <c r="Y51" s="592"/>
    </row>
    <row r="52" spans="1:25" ht="20.100000000000001" customHeight="1" x14ac:dyDescent="0.25">
      <c r="A52" s="550"/>
      <c r="B52" s="548"/>
      <c r="C52" s="585" t="s">
        <v>165</v>
      </c>
      <c r="D52" s="586"/>
      <c r="E52" s="194"/>
      <c r="F52" s="194"/>
      <c r="G52" s="191"/>
      <c r="H52" s="597"/>
      <c r="I52" s="598"/>
      <c r="J52" s="598"/>
      <c r="K52" s="598"/>
      <c r="L52" s="598"/>
      <c r="M52" s="598"/>
      <c r="N52" s="598"/>
      <c r="O52" s="598"/>
      <c r="P52" s="598"/>
      <c r="Q52" s="598"/>
      <c r="R52" s="598"/>
      <c r="S52" s="598"/>
      <c r="T52" s="598"/>
      <c r="U52" s="598"/>
      <c r="V52" s="598"/>
      <c r="W52" s="598"/>
      <c r="X52" s="598"/>
      <c r="Y52" s="599"/>
    </row>
    <row r="53" spans="1:25" ht="9.9499999999999993" customHeight="1" x14ac:dyDescent="0.25">
      <c r="A53" s="551"/>
      <c r="B53" s="548"/>
      <c r="C53" s="222"/>
      <c r="D53" s="222"/>
      <c r="E53" s="222"/>
      <c r="F53" s="222"/>
      <c r="G53" s="223"/>
      <c r="H53" s="593"/>
      <c r="I53" s="594"/>
      <c r="J53" s="594"/>
      <c r="K53" s="594"/>
      <c r="L53" s="594"/>
      <c r="M53" s="594"/>
      <c r="N53" s="594"/>
      <c r="O53" s="594"/>
      <c r="P53" s="594"/>
      <c r="Q53" s="594"/>
      <c r="R53" s="594"/>
      <c r="S53" s="594"/>
      <c r="T53" s="594"/>
      <c r="U53" s="594"/>
      <c r="V53" s="594"/>
      <c r="W53" s="594"/>
      <c r="X53" s="594"/>
      <c r="Y53" s="595"/>
    </row>
    <row r="54" spans="1:25" ht="9.9499999999999993" customHeight="1" x14ac:dyDescent="0.25">
      <c r="A54" s="549">
        <f t="shared" si="7"/>
        <v>16</v>
      </c>
      <c r="B54" s="548"/>
      <c r="C54" s="220"/>
      <c r="D54" s="220"/>
      <c r="E54" s="220"/>
      <c r="F54" s="220"/>
      <c r="G54" s="221"/>
      <c r="H54" s="590"/>
      <c r="I54" s="591"/>
      <c r="J54" s="591"/>
      <c r="K54" s="591"/>
      <c r="L54" s="591"/>
      <c r="M54" s="591"/>
      <c r="N54" s="591"/>
      <c r="O54" s="591"/>
      <c r="P54" s="591"/>
      <c r="Q54" s="591"/>
      <c r="R54" s="591"/>
      <c r="S54" s="591"/>
      <c r="T54" s="591"/>
      <c r="U54" s="591"/>
      <c r="V54" s="591"/>
      <c r="W54" s="591"/>
      <c r="X54" s="591"/>
      <c r="Y54" s="592"/>
    </row>
    <row r="55" spans="1:25" ht="20.100000000000001" customHeight="1" x14ac:dyDescent="0.25">
      <c r="A55" s="550"/>
      <c r="B55" s="548"/>
      <c r="C55" s="585" t="s">
        <v>165</v>
      </c>
      <c r="D55" s="586"/>
      <c r="E55" s="194"/>
      <c r="F55" s="194"/>
      <c r="G55" s="191"/>
      <c r="H55" s="597"/>
      <c r="I55" s="598"/>
      <c r="J55" s="598"/>
      <c r="K55" s="598"/>
      <c r="L55" s="598"/>
      <c r="M55" s="598"/>
      <c r="N55" s="598"/>
      <c r="O55" s="598"/>
      <c r="P55" s="598"/>
      <c r="Q55" s="598"/>
      <c r="R55" s="598"/>
      <c r="S55" s="598"/>
      <c r="T55" s="598"/>
      <c r="U55" s="598"/>
      <c r="V55" s="598"/>
      <c r="W55" s="598"/>
      <c r="X55" s="598"/>
      <c r="Y55" s="599"/>
    </row>
    <row r="56" spans="1:25" ht="9.9499999999999993" customHeight="1" x14ac:dyDescent="0.25">
      <c r="A56" s="551"/>
      <c r="B56" s="548"/>
      <c r="C56" s="222"/>
      <c r="D56" s="222"/>
      <c r="E56" s="222"/>
      <c r="F56" s="222"/>
      <c r="G56" s="223"/>
      <c r="H56" s="593"/>
      <c r="I56" s="594"/>
      <c r="J56" s="594"/>
      <c r="K56" s="594"/>
      <c r="L56" s="594"/>
      <c r="M56" s="594"/>
      <c r="N56" s="594"/>
      <c r="O56" s="594"/>
      <c r="P56" s="594"/>
      <c r="Q56" s="594"/>
      <c r="R56" s="594"/>
      <c r="S56" s="594"/>
      <c r="T56" s="594"/>
      <c r="U56" s="594"/>
      <c r="V56" s="594"/>
      <c r="W56" s="594"/>
      <c r="X56" s="594"/>
      <c r="Y56" s="595"/>
    </row>
    <row r="57" spans="1:25" ht="9.9499999999999993" customHeight="1" x14ac:dyDescent="0.25">
      <c r="A57" s="549">
        <f t="shared" si="7"/>
        <v>17</v>
      </c>
      <c r="B57" s="548"/>
      <c r="C57" s="220"/>
      <c r="D57" s="220"/>
      <c r="E57" s="220"/>
      <c r="F57" s="220"/>
      <c r="G57" s="221"/>
      <c r="H57" s="590"/>
      <c r="I57" s="591"/>
      <c r="J57" s="591"/>
      <c r="K57" s="591"/>
      <c r="L57" s="591"/>
      <c r="M57" s="591"/>
      <c r="N57" s="591"/>
      <c r="O57" s="591"/>
      <c r="P57" s="591"/>
      <c r="Q57" s="591"/>
      <c r="R57" s="591"/>
      <c r="S57" s="591"/>
      <c r="T57" s="591"/>
      <c r="U57" s="591"/>
      <c r="V57" s="591"/>
      <c r="W57" s="591"/>
      <c r="X57" s="591"/>
      <c r="Y57" s="592"/>
    </row>
    <row r="58" spans="1:25" ht="20.100000000000001" customHeight="1" x14ac:dyDescent="0.25">
      <c r="A58" s="550"/>
      <c r="B58" s="548"/>
      <c r="C58" s="585" t="s">
        <v>165</v>
      </c>
      <c r="D58" s="586"/>
      <c r="E58" s="194"/>
      <c r="F58" s="194"/>
      <c r="G58" s="191"/>
      <c r="H58" s="597"/>
      <c r="I58" s="598"/>
      <c r="J58" s="598"/>
      <c r="K58" s="598"/>
      <c r="L58" s="598"/>
      <c r="M58" s="598"/>
      <c r="N58" s="598"/>
      <c r="O58" s="598"/>
      <c r="P58" s="598"/>
      <c r="Q58" s="598"/>
      <c r="R58" s="598"/>
      <c r="S58" s="598"/>
      <c r="T58" s="598"/>
      <c r="U58" s="598"/>
      <c r="V58" s="598"/>
      <c r="W58" s="598"/>
      <c r="X58" s="598"/>
      <c r="Y58" s="599"/>
    </row>
    <row r="59" spans="1:25" ht="9.9499999999999993" customHeight="1" x14ac:dyDescent="0.25">
      <c r="A59" s="551"/>
      <c r="B59" s="548"/>
      <c r="C59" s="222"/>
      <c r="D59" s="222"/>
      <c r="E59" s="222"/>
      <c r="F59" s="222"/>
      <c r="G59" s="223"/>
      <c r="H59" s="593"/>
      <c r="I59" s="594"/>
      <c r="J59" s="594"/>
      <c r="K59" s="594"/>
      <c r="L59" s="594"/>
      <c r="M59" s="594"/>
      <c r="N59" s="594"/>
      <c r="O59" s="594"/>
      <c r="P59" s="594"/>
      <c r="Q59" s="594"/>
      <c r="R59" s="594"/>
      <c r="S59" s="594"/>
      <c r="T59" s="594"/>
      <c r="U59" s="594"/>
      <c r="V59" s="594"/>
      <c r="W59" s="594"/>
      <c r="X59" s="594"/>
      <c r="Y59" s="595"/>
    </row>
    <row r="60" spans="1:25" ht="9.9499999999999993" customHeight="1" x14ac:dyDescent="0.25">
      <c r="A60" s="549">
        <f t="shared" si="7"/>
        <v>18</v>
      </c>
      <c r="B60" s="548"/>
      <c r="C60" s="220"/>
      <c r="D60" s="220"/>
      <c r="E60" s="220"/>
      <c r="F60" s="220"/>
      <c r="G60" s="221"/>
      <c r="H60" s="590"/>
      <c r="I60" s="591"/>
      <c r="J60" s="591"/>
      <c r="K60" s="591"/>
      <c r="L60" s="591"/>
      <c r="M60" s="591"/>
      <c r="N60" s="591"/>
      <c r="O60" s="591"/>
      <c r="P60" s="591"/>
      <c r="Q60" s="591"/>
      <c r="R60" s="591"/>
      <c r="S60" s="591"/>
      <c r="T60" s="591"/>
      <c r="U60" s="591"/>
      <c r="V60" s="591"/>
      <c r="W60" s="591"/>
      <c r="X60" s="591"/>
      <c r="Y60" s="592"/>
    </row>
    <row r="61" spans="1:25" ht="20.100000000000001" customHeight="1" x14ac:dyDescent="0.25">
      <c r="A61" s="550"/>
      <c r="B61" s="548"/>
      <c r="C61" s="585" t="s">
        <v>165</v>
      </c>
      <c r="D61" s="586"/>
      <c r="E61" s="194"/>
      <c r="F61" s="194"/>
      <c r="G61" s="191"/>
      <c r="H61" s="597"/>
      <c r="I61" s="598"/>
      <c r="J61" s="598"/>
      <c r="K61" s="598"/>
      <c r="L61" s="598"/>
      <c r="M61" s="598"/>
      <c r="N61" s="598"/>
      <c r="O61" s="598"/>
      <c r="P61" s="598"/>
      <c r="Q61" s="598"/>
      <c r="R61" s="598"/>
      <c r="S61" s="598"/>
      <c r="T61" s="598"/>
      <c r="U61" s="598"/>
      <c r="V61" s="598"/>
      <c r="W61" s="598"/>
      <c r="X61" s="598"/>
      <c r="Y61" s="599"/>
    </row>
    <row r="62" spans="1:25" ht="9.9499999999999993" customHeight="1" x14ac:dyDescent="0.25">
      <c r="A62" s="551"/>
      <c r="B62" s="548"/>
      <c r="C62" s="222"/>
      <c r="D62" s="222"/>
      <c r="E62" s="222"/>
      <c r="F62" s="222"/>
      <c r="G62" s="223"/>
      <c r="H62" s="593"/>
      <c r="I62" s="594"/>
      <c r="J62" s="594"/>
      <c r="K62" s="594"/>
      <c r="L62" s="594"/>
      <c r="M62" s="594"/>
      <c r="N62" s="594"/>
      <c r="O62" s="594"/>
      <c r="P62" s="594"/>
      <c r="Q62" s="594"/>
      <c r="R62" s="594"/>
      <c r="S62" s="594"/>
      <c r="T62" s="594"/>
      <c r="U62" s="594"/>
      <c r="V62" s="594"/>
      <c r="W62" s="594"/>
      <c r="X62" s="594"/>
      <c r="Y62" s="595"/>
    </row>
    <row r="63" spans="1:25" ht="9.9499999999999993" customHeight="1" x14ac:dyDescent="0.25">
      <c r="A63" s="549">
        <f t="shared" si="7"/>
        <v>19</v>
      </c>
      <c r="B63" s="548"/>
      <c r="C63" s="220"/>
      <c r="D63" s="220"/>
      <c r="E63" s="220"/>
      <c r="F63" s="220"/>
      <c r="G63" s="221"/>
      <c r="H63" s="590"/>
      <c r="I63" s="591"/>
      <c r="J63" s="591"/>
      <c r="K63" s="591"/>
      <c r="L63" s="591"/>
      <c r="M63" s="591"/>
      <c r="N63" s="591"/>
      <c r="O63" s="591"/>
      <c r="P63" s="591"/>
      <c r="Q63" s="591"/>
      <c r="R63" s="591"/>
      <c r="S63" s="591"/>
      <c r="T63" s="591"/>
      <c r="U63" s="591"/>
      <c r="V63" s="591"/>
      <c r="W63" s="591"/>
      <c r="X63" s="591"/>
      <c r="Y63" s="592"/>
    </row>
    <row r="64" spans="1:25" ht="20.100000000000001" customHeight="1" x14ac:dyDescent="0.25">
      <c r="A64" s="550"/>
      <c r="B64" s="548"/>
      <c r="C64" s="585" t="s">
        <v>165</v>
      </c>
      <c r="D64" s="586"/>
      <c r="E64" s="194"/>
      <c r="F64" s="194"/>
      <c r="G64" s="191"/>
      <c r="H64" s="597"/>
      <c r="I64" s="598"/>
      <c r="J64" s="598"/>
      <c r="K64" s="598"/>
      <c r="L64" s="598"/>
      <c r="M64" s="598"/>
      <c r="N64" s="598"/>
      <c r="O64" s="598"/>
      <c r="P64" s="598"/>
      <c r="Q64" s="598"/>
      <c r="R64" s="598"/>
      <c r="S64" s="598"/>
      <c r="T64" s="598"/>
      <c r="U64" s="598"/>
      <c r="V64" s="598"/>
      <c r="W64" s="598"/>
      <c r="X64" s="598"/>
      <c r="Y64" s="599"/>
    </row>
    <row r="65" spans="1:25" ht="9.9499999999999993" customHeight="1" x14ac:dyDescent="0.25">
      <c r="A65" s="551"/>
      <c r="B65" s="548"/>
      <c r="C65" s="222"/>
      <c r="D65" s="222"/>
      <c r="E65" s="222"/>
      <c r="F65" s="222"/>
      <c r="G65" s="223"/>
      <c r="H65" s="593"/>
      <c r="I65" s="594"/>
      <c r="J65" s="594"/>
      <c r="K65" s="594"/>
      <c r="L65" s="594"/>
      <c r="M65" s="594"/>
      <c r="N65" s="594"/>
      <c r="O65" s="594"/>
      <c r="P65" s="594"/>
      <c r="Q65" s="594"/>
      <c r="R65" s="594"/>
      <c r="S65" s="594"/>
      <c r="T65" s="594"/>
      <c r="U65" s="594"/>
      <c r="V65" s="594"/>
      <c r="W65" s="594"/>
      <c r="X65" s="594"/>
      <c r="Y65" s="595"/>
    </row>
    <row r="66" spans="1:25" ht="9.9499999999999993" customHeight="1" x14ac:dyDescent="0.25">
      <c r="A66" s="549">
        <f t="shared" si="7"/>
        <v>20</v>
      </c>
      <c r="B66" s="548"/>
      <c r="C66" s="220"/>
      <c r="D66" s="220"/>
      <c r="E66" s="220"/>
      <c r="F66" s="220"/>
      <c r="G66" s="221"/>
      <c r="H66" s="590"/>
      <c r="I66" s="591"/>
      <c r="J66" s="591"/>
      <c r="K66" s="591"/>
      <c r="L66" s="591"/>
      <c r="M66" s="591"/>
      <c r="N66" s="591"/>
      <c r="O66" s="591"/>
      <c r="P66" s="591"/>
      <c r="Q66" s="591"/>
      <c r="R66" s="591"/>
      <c r="S66" s="591"/>
      <c r="T66" s="591"/>
      <c r="U66" s="591"/>
      <c r="V66" s="591"/>
      <c r="W66" s="591"/>
      <c r="X66" s="591"/>
      <c r="Y66" s="592"/>
    </row>
    <row r="67" spans="1:25" ht="20.100000000000001" customHeight="1" x14ac:dyDescent="0.25">
      <c r="A67" s="550"/>
      <c r="B67" s="548"/>
      <c r="C67" s="585" t="s">
        <v>165</v>
      </c>
      <c r="D67" s="586"/>
      <c r="E67" s="194"/>
      <c r="F67" s="194"/>
      <c r="G67" s="191"/>
      <c r="H67" s="597"/>
      <c r="I67" s="598"/>
      <c r="J67" s="598"/>
      <c r="K67" s="598"/>
      <c r="L67" s="598"/>
      <c r="M67" s="598"/>
      <c r="N67" s="598"/>
      <c r="O67" s="598"/>
      <c r="P67" s="598"/>
      <c r="Q67" s="598"/>
      <c r="R67" s="598"/>
      <c r="S67" s="598"/>
      <c r="T67" s="598"/>
      <c r="U67" s="598"/>
      <c r="V67" s="598"/>
      <c r="W67" s="598"/>
      <c r="X67" s="598"/>
      <c r="Y67" s="599"/>
    </row>
    <row r="68" spans="1:25" ht="9.9499999999999993" customHeight="1" x14ac:dyDescent="0.25">
      <c r="A68" s="551"/>
      <c r="B68" s="548"/>
      <c r="C68" s="222"/>
      <c r="D68" s="222"/>
      <c r="E68" s="222"/>
      <c r="F68" s="222"/>
      <c r="G68" s="223"/>
      <c r="H68" s="593"/>
      <c r="I68" s="594"/>
      <c r="J68" s="594"/>
      <c r="K68" s="594"/>
      <c r="L68" s="594"/>
      <c r="M68" s="594"/>
      <c r="N68" s="594"/>
      <c r="O68" s="594"/>
      <c r="P68" s="594"/>
      <c r="Q68" s="594"/>
      <c r="R68" s="594"/>
      <c r="S68" s="594"/>
      <c r="T68" s="594"/>
      <c r="U68" s="594"/>
      <c r="V68" s="594"/>
      <c r="W68" s="594"/>
      <c r="X68" s="594"/>
      <c r="Y68" s="595"/>
    </row>
    <row r="69" spans="1:25" ht="9.9499999999999993" customHeight="1" x14ac:dyDescent="0.25">
      <c r="A69" s="549">
        <f t="shared" ref="A69:A96" si="8">1+A66</f>
        <v>21</v>
      </c>
      <c r="B69" s="548"/>
      <c r="C69" s="220"/>
      <c r="D69" s="220"/>
      <c r="E69" s="220"/>
      <c r="F69" s="220"/>
      <c r="G69" s="221"/>
      <c r="H69" s="590"/>
      <c r="I69" s="591"/>
      <c r="J69" s="591"/>
      <c r="K69" s="591"/>
      <c r="L69" s="591"/>
      <c r="M69" s="591"/>
      <c r="N69" s="591"/>
      <c r="O69" s="591"/>
      <c r="P69" s="591"/>
      <c r="Q69" s="591"/>
      <c r="R69" s="591"/>
      <c r="S69" s="591"/>
      <c r="T69" s="591"/>
      <c r="U69" s="591"/>
      <c r="V69" s="591"/>
      <c r="W69" s="591"/>
      <c r="X69" s="591"/>
      <c r="Y69" s="592"/>
    </row>
    <row r="70" spans="1:25" ht="20.100000000000001" customHeight="1" x14ac:dyDescent="0.25">
      <c r="A70" s="550"/>
      <c r="B70" s="548"/>
      <c r="C70" s="585" t="s">
        <v>165</v>
      </c>
      <c r="D70" s="586"/>
      <c r="E70" s="194"/>
      <c r="F70" s="194"/>
      <c r="G70" s="191"/>
      <c r="H70" s="597"/>
      <c r="I70" s="598"/>
      <c r="J70" s="598"/>
      <c r="K70" s="598"/>
      <c r="L70" s="598"/>
      <c r="M70" s="598"/>
      <c r="N70" s="598"/>
      <c r="O70" s="598"/>
      <c r="P70" s="598"/>
      <c r="Q70" s="598"/>
      <c r="R70" s="598"/>
      <c r="S70" s="598"/>
      <c r="T70" s="598"/>
      <c r="U70" s="598"/>
      <c r="V70" s="598"/>
      <c r="W70" s="598"/>
      <c r="X70" s="598"/>
      <c r="Y70" s="599"/>
    </row>
    <row r="71" spans="1:25" ht="9.9499999999999993" customHeight="1" x14ac:dyDescent="0.25">
      <c r="A71" s="551"/>
      <c r="B71" s="548"/>
      <c r="C71" s="222"/>
      <c r="D71" s="222"/>
      <c r="E71" s="222"/>
      <c r="F71" s="222"/>
      <c r="G71" s="223"/>
      <c r="H71" s="593"/>
      <c r="I71" s="594"/>
      <c r="J71" s="594"/>
      <c r="K71" s="594"/>
      <c r="L71" s="594"/>
      <c r="M71" s="594"/>
      <c r="N71" s="594"/>
      <c r="O71" s="594"/>
      <c r="P71" s="594"/>
      <c r="Q71" s="594"/>
      <c r="R71" s="594"/>
      <c r="S71" s="594"/>
      <c r="T71" s="594"/>
      <c r="U71" s="594"/>
      <c r="V71" s="594"/>
      <c r="W71" s="594"/>
      <c r="X71" s="594"/>
      <c r="Y71" s="595"/>
    </row>
    <row r="72" spans="1:25" ht="9.9499999999999993" customHeight="1" x14ac:dyDescent="0.25">
      <c r="A72" s="549">
        <f t="shared" si="8"/>
        <v>22</v>
      </c>
      <c r="B72" s="548"/>
      <c r="C72" s="220"/>
      <c r="D72" s="220"/>
      <c r="E72" s="220"/>
      <c r="F72" s="220"/>
      <c r="G72" s="221"/>
      <c r="H72" s="590"/>
      <c r="I72" s="591"/>
      <c r="J72" s="591"/>
      <c r="K72" s="591"/>
      <c r="L72" s="591"/>
      <c r="M72" s="591"/>
      <c r="N72" s="591"/>
      <c r="O72" s="591"/>
      <c r="P72" s="591"/>
      <c r="Q72" s="591"/>
      <c r="R72" s="591"/>
      <c r="S72" s="591"/>
      <c r="T72" s="591"/>
      <c r="U72" s="591"/>
      <c r="V72" s="591"/>
      <c r="W72" s="591"/>
      <c r="X72" s="591"/>
      <c r="Y72" s="592"/>
    </row>
    <row r="73" spans="1:25" ht="20.100000000000001" customHeight="1" x14ac:dyDescent="0.25">
      <c r="A73" s="550"/>
      <c r="B73" s="548"/>
      <c r="C73" s="585" t="s">
        <v>165</v>
      </c>
      <c r="D73" s="586"/>
      <c r="E73" s="194"/>
      <c r="F73" s="194"/>
      <c r="G73" s="191"/>
      <c r="H73" s="597"/>
      <c r="I73" s="598"/>
      <c r="J73" s="598"/>
      <c r="K73" s="598"/>
      <c r="L73" s="598"/>
      <c r="M73" s="598"/>
      <c r="N73" s="598"/>
      <c r="O73" s="598"/>
      <c r="P73" s="598"/>
      <c r="Q73" s="598"/>
      <c r="R73" s="598"/>
      <c r="S73" s="598"/>
      <c r="T73" s="598"/>
      <c r="U73" s="598"/>
      <c r="V73" s="598"/>
      <c r="W73" s="598"/>
      <c r="X73" s="598"/>
      <c r="Y73" s="599"/>
    </row>
    <row r="74" spans="1:25" ht="9.9499999999999993" customHeight="1" x14ac:dyDescent="0.25">
      <c r="A74" s="551"/>
      <c r="B74" s="548"/>
      <c r="C74" s="222"/>
      <c r="D74" s="222"/>
      <c r="E74" s="222"/>
      <c r="F74" s="222"/>
      <c r="G74" s="223"/>
      <c r="H74" s="593"/>
      <c r="I74" s="594"/>
      <c r="J74" s="594"/>
      <c r="K74" s="594"/>
      <c r="L74" s="594"/>
      <c r="M74" s="594"/>
      <c r="N74" s="594"/>
      <c r="O74" s="594"/>
      <c r="P74" s="594"/>
      <c r="Q74" s="594"/>
      <c r="R74" s="594"/>
      <c r="S74" s="594"/>
      <c r="T74" s="594"/>
      <c r="U74" s="594"/>
      <c r="V74" s="594"/>
      <c r="W74" s="594"/>
      <c r="X74" s="594"/>
      <c r="Y74" s="595"/>
    </row>
    <row r="75" spans="1:25" ht="9.9499999999999993" customHeight="1" x14ac:dyDescent="0.25">
      <c r="A75" s="549">
        <f t="shared" si="8"/>
        <v>23</v>
      </c>
      <c r="B75" s="548"/>
      <c r="C75" s="220"/>
      <c r="D75" s="220"/>
      <c r="E75" s="220"/>
      <c r="F75" s="220"/>
      <c r="G75" s="221"/>
      <c r="H75" s="590"/>
      <c r="I75" s="591"/>
      <c r="J75" s="591"/>
      <c r="K75" s="591"/>
      <c r="L75" s="591"/>
      <c r="M75" s="591"/>
      <c r="N75" s="591"/>
      <c r="O75" s="591"/>
      <c r="P75" s="591"/>
      <c r="Q75" s="591"/>
      <c r="R75" s="591"/>
      <c r="S75" s="591"/>
      <c r="T75" s="591"/>
      <c r="U75" s="591"/>
      <c r="V75" s="591"/>
      <c r="W75" s="591"/>
      <c r="X75" s="591"/>
      <c r="Y75" s="592"/>
    </row>
    <row r="76" spans="1:25" ht="20.100000000000001" customHeight="1" x14ac:dyDescent="0.25">
      <c r="A76" s="550"/>
      <c r="B76" s="548"/>
      <c r="C76" s="585" t="s">
        <v>165</v>
      </c>
      <c r="D76" s="586"/>
      <c r="E76" s="194"/>
      <c r="F76" s="194"/>
      <c r="G76" s="191"/>
      <c r="H76" s="597"/>
      <c r="I76" s="598"/>
      <c r="J76" s="598"/>
      <c r="K76" s="598"/>
      <c r="L76" s="598"/>
      <c r="M76" s="598"/>
      <c r="N76" s="598"/>
      <c r="O76" s="598"/>
      <c r="P76" s="598"/>
      <c r="Q76" s="598"/>
      <c r="R76" s="598"/>
      <c r="S76" s="598"/>
      <c r="T76" s="598"/>
      <c r="U76" s="598"/>
      <c r="V76" s="598"/>
      <c r="W76" s="598"/>
      <c r="X76" s="598"/>
      <c r="Y76" s="599"/>
    </row>
    <row r="77" spans="1:25" ht="9.9499999999999993" customHeight="1" x14ac:dyDescent="0.25">
      <c r="A77" s="551"/>
      <c r="B77" s="548"/>
      <c r="C77" s="222"/>
      <c r="D77" s="222"/>
      <c r="E77" s="222"/>
      <c r="F77" s="222"/>
      <c r="G77" s="223"/>
      <c r="H77" s="593"/>
      <c r="I77" s="594"/>
      <c r="J77" s="594"/>
      <c r="K77" s="594"/>
      <c r="L77" s="594"/>
      <c r="M77" s="594"/>
      <c r="N77" s="594"/>
      <c r="O77" s="594"/>
      <c r="P77" s="594"/>
      <c r="Q77" s="594"/>
      <c r="R77" s="594"/>
      <c r="S77" s="594"/>
      <c r="T77" s="594"/>
      <c r="U77" s="594"/>
      <c r="V77" s="594"/>
      <c r="W77" s="594"/>
      <c r="X77" s="594"/>
      <c r="Y77" s="595"/>
    </row>
    <row r="78" spans="1:25" ht="9.9499999999999993" customHeight="1" x14ac:dyDescent="0.25">
      <c r="A78" s="549">
        <f t="shared" si="8"/>
        <v>24</v>
      </c>
      <c r="B78" s="548"/>
      <c r="C78" s="220"/>
      <c r="D78" s="220"/>
      <c r="E78" s="220"/>
      <c r="F78" s="220"/>
      <c r="G78" s="221"/>
      <c r="H78" s="590"/>
      <c r="I78" s="591"/>
      <c r="J78" s="591"/>
      <c r="K78" s="591"/>
      <c r="L78" s="591"/>
      <c r="M78" s="591"/>
      <c r="N78" s="591"/>
      <c r="O78" s="591"/>
      <c r="P78" s="591"/>
      <c r="Q78" s="591"/>
      <c r="R78" s="591"/>
      <c r="S78" s="591"/>
      <c r="T78" s="591"/>
      <c r="U78" s="591"/>
      <c r="V78" s="591"/>
      <c r="W78" s="591"/>
      <c r="X78" s="591"/>
      <c r="Y78" s="592"/>
    </row>
    <row r="79" spans="1:25" ht="20.100000000000001" customHeight="1" x14ac:dyDescent="0.25">
      <c r="A79" s="550"/>
      <c r="B79" s="548"/>
      <c r="C79" s="585" t="s">
        <v>165</v>
      </c>
      <c r="D79" s="586"/>
      <c r="E79" s="194"/>
      <c r="F79" s="194"/>
      <c r="G79" s="191"/>
      <c r="H79" s="597"/>
      <c r="I79" s="598"/>
      <c r="J79" s="598"/>
      <c r="K79" s="598"/>
      <c r="L79" s="598"/>
      <c r="M79" s="598"/>
      <c r="N79" s="598"/>
      <c r="O79" s="598"/>
      <c r="P79" s="598"/>
      <c r="Q79" s="598"/>
      <c r="R79" s="598"/>
      <c r="S79" s="598"/>
      <c r="T79" s="598"/>
      <c r="U79" s="598"/>
      <c r="V79" s="598"/>
      <c r="W79" s="598"/>
      <c r="X79" s="598"/>
      <c r="Y79" s="599"/>
    </row>
    <row r="80" spans="1:25" ht="9.9499999999999993" customHeight="1" x14ac:dyDescent="0.25">
      <c r="A80" s="551"/>
      <c r="B80" s="548"/>
      <c r="C80" s="222"/>
      <c r="D80" s="222"/>
      <c r="E80" s="222"/>
      <c r="F80" s="222"/>
      <c r="G80" s="223"/>
      <c r="H80" s="593"/>
      <c r="I80" s="594"/>
      <c r="J80" s="594"/>
      <c r="K80" s="594"/>
      <c r="L80" s="594"/>
      <c r="M80" s="594"/>
      <c r="N80" s="594"/>
      <c r="O80" s="594"/>
      <c r="P80" s="594"/>
      <c r="Q80" s="594"/>
      <c r="R80" s="594"/>
      <c r="S80" s="594"/>
      <c r="T80" s="594"/>
      <c r="U80" s="594"/>
      <c r="V80" s="594"/>
      <c r="W80" s="594"/>
      <c r="X80" s="594"/>
      <c r="Y80" s="595"/>
    </row>
    <row r="81" spans="1:25" ht="9.9499999999999993" customHeight="1" x14ac:dyDescent="0.25">
      <c r="A81" s="549">
        <f t="shared" si="8"/>
        <v>25</v>
      </c>
      <c r="B81" s="548"/>
      <c r="C81" s="220"/>
      <c r="D81" s="220"/>
      <c r="E81" s="220"/>
      <c r="F81" s="220"/>
      <c r="G81" s="221"/>
      <c r="H81" s="590"/>
      <c r="I81" s="591"/>
      <c r="J81" s="591"/>
      <c r="K81" s="591"/>
      <c r="L81" s="591"/>
      <c r="M81" s="591"/>
      <c r="N81" s="591"/>
      <c r="O81" s="591"/>
      <c r="P81" s="591"/>
      <c r="Q81" s="591"/>
      <c r="R81" s="591"/>
      <c r="S81" s="591"/>
      <c r="T81" s="591"/>
      <c r="U81" s="591"/>
      <c r="V81" s="591"/>
      <c r="W81" s="591"/>
      <c r="X81" s="591"/>
      <c r="Y81" s="592"/>
    </row>
    <row r="82" spans="1:25" ht="20.100000000000001" customHeight="1" x14ac:dyDescent="0.25">
      <c r="A82" s="550"/>
      <c r="B82" s="548"/>
      <c r="C82" s="585" t="s">
        <v>165</v>
      </c>
      <c r="D82" s="586"/>
      <c r="E82" s="194"/>
      <c r="F82" s="194"/>
      <c r="G82" s="191"/>
      <c r="H82" s="597"/>
      <c r="I82" s="598"/>
      <c r="J82" s="598"/>
      <c r="K82" s="598"/>
      <c r="L82" s="598"/>
      <c r="M82" s="598"/>
      <c r="N82" s="598"/>
      <c r="O82" s="598"/>
      <c r="P82" s="598"/>
      <c r="Q82" s="598"/>
      <c r="R82" s="598"/>
      <c r="S82" s="598"/>
      <c r="T82" s="598"/>
      <c r="U82" s="598"/>
      <c r="V82" s="598"/>
      <c r="W82" s="598"/>
      <c r="X82" s="598"/>
      <c r="Y82" s="599"/>
    </row>
    <row r="83" spans="1:25" ht="9.9499999999999993" customHeight="1" x14ac:dyDescent="0.25">
      <c r="A83" s="551"/>
      <c r="B83" s="548"/>
      <c r="C83" s="222"/>
      <c r="D83" s="222"/>
      <c r="E83" s="222"/>
      <c r="F83" s="222"/>
      <c r="G83" s="223"/>
      <c r="H83" s="593"/>
      <c r="I83" s="594"/>
      <c r="J83" s="594"/>
      <c r="K83" s="594"/>
      <c r="L83" s="594"/>
      <c r="M83" s="594"/>
      <c r="N83" s="594"/>
      <c r="O83" s="594"/>
      <c r="P83" s="594"/>
      <c r="Q83" s="594"/>
      <c r="R83" s="594"/>
      <c r="S83" s="594"/>
      <c r="T83" s="594"/>
      <c r="U83" s="594"/>
      <c r="V83" s="594"/>
      <c r="W83" s="594"/>
      <c r="X83" s="594"/>
      <c r="Y83" s="595"/>
    </row>
    <row r="84" spans="1:25" ht="9.9499999999999993" customHeight="1" x14ac:dyDescent="0.25">
      <c r="A84" s="549">
        <f t="shared" si="8"/>
        <v>26</v>
      </c>
      <c r="B84" s="548"/>
      <c r="C84" s="220"/>
      <c r="D84" s="220"/>
      <c r="E84" s="220"/>
      <c r="F84" s="220"/>
      <c r="G84" s="221"/>
      <c r="H84" s="590"/>
      <c r="I84" s="591"/>
      <c r="J84" s="591"/>
      <c r="K84" s="591"/>
      <c r="L84" s="591"/>
      <c r="M84" s="591"/>
      <c r="N84" s="591"/>
      <c r="O84" s="591"/>
      <c r="P84" s="591"/>
      <c r="Q84" s="591"/>
      <c r="R84" s="591"/>
      <c r="S84" s="591"/>
      <c r="T84" s="591"/>
      <c r="U84" s="591"/>
      <c r="V84" s="591"/>
      <c r="W84" s="591"/>
      <c r="X84" s="591"/>
      <c r="Y84" s="592"/>
    </row>
    <row r="85" spans="1:25" ht="20.100000000000001" customHeight="1" x14ac:dyDescent="0.25">
      <c r="A85" s="550"/>
      <c r="B85" s="548"/>
      <c r="C85" s="585" t="s">
        <v>165</v>
      </c>
      <c r="D85" s="586"/>
      <c r="E85" s="194"/>
      <c r="F85" s="194"/>
      <c r="G85" s="191"/>
      <c r="H85" s="597"/>
      <c r="I85" s="598"/>
      <c r="J85" s="598"/>
      <c r="K85" s="598"/>
      <c r="L85" s="598"/>
      <c r="M85" s="598"/>
      <c r="N85" s="598"/>
      <c r="O85" s="598"/>
      <c r="P85" s="598"/>
      <c r="Q85" s="598"/>
      <c r="R85" s="598"/>
      <c r="S85" s="598"/>
      <c r="T85" s="598"/>
      <c r="U85" s="598"/>
      <c r="V85" s="598"/>
      <c r="W85" s="598"/>
      <c r="X85" s="598"/>
      <c r="Y85" s="599"/>
    </row>
    <row r="86" spans="1:25" ht="9.9499999999999993" customHeight="1" x14ac:dyDescent="0.25">
      <c r="A86" s="551"/>
      <c r="B86" s="548"/>
      <c r="C86" s="222"/>
      <c r="D86" s="222"/>
      <c r="E86" s="222"/>
      <c r="F86" s="222"/>
      <c r="G86" s="223"/>
      <c r="H86" s="593"/>
      <c r="I86" s="594"/>
      <c r="J86" s="594"/>
      <c r="K86" s="594"/>
      <c r="L86" s="594"/>
      <c r="M86" s="594"/>
      <c r="N86" s="594"/>
      <c r="O86" s="594"/>
      <c r="P86" s="594"/>
      <c r="Q86" s="594"/>
      <c r="R86" s="594"/>
      <c r="S86" s="594"/>
      <c r="T86" s="594"/>
      <c r="U86" s="594"/>
      <c r="V86" s="594"/>
      <c r="W86" s="594"/>
      <c r="X86" s="594"/>
      <c r="Y86" s="595"/>
    </row>
    <row r="87" spans="1:25" ht="9.9499999999999993" customHeight="1" x14ac:dyDescent="0.25">
      <c r="A87" s="549">
        <f t="shared" si="8"/>
        <v>27</v>
      </c>
      <c r="B87" s="548"/>
      <c r="C87" s="220"/>
      <c r="D87" s="220"/>
      <c r="E87" s="220"/>
      <c r="F87" s="220"/>
      <c r="G87" s="221"/>
      <c r="H87" s="590"/>
      <c r="I87" s="591"/>
      <c r="J87" s="591"/>
      <c r="K87" s="591"/>
      <c r="L87" s="591"/>
      <c r="M87" s="591"/>
      <c r="N87" s="591"/>
      <c r="O87" s="591"/>
      <c r="P87" s="591"/>
      <c r="Q87" s="591"/>
      <c r="R87" s="591"/>
      <c r="S87" s="591"/>
      <c r="T87" s="591"/>
      <c r="U87" s="591"/>
      <c r="V87" s="591"/>
      <c r="W87" s="591"/>
      <c r="X87" s="591"/>
      <c r="Y87" s="592"/>
    </row>
    <row r="88" spans="1:25" ht="20.100000000000001" customHeight="1" x14ac:dyDescent="0.25">
      <c r="A88" s="550"/>
      <c r="B88" s="548"/>
      <c r="C88" s="585" t="s">
        <v>165</v>
      </c>
      <c r="D88" s="586"/>
      <c r="E88" s="194"/>
      <c r="F88" s="194"/>
      <c r="G88" s="191"/>
      <c r="H88" s="597"/>
      <c r="I88" s="598"/>
      <c r="J88" s="598"/>
      <c r="K88" s="598"/>
      <c r="L88" s="598"/>
      <c r="M88" s="598"/>
      <c r="N88" s="598"/>
      <c r="O88" s="598"/>
      <c r="P88" s="598"/>
      <c r="Q88" s="598"/>
      <c r="R88" s="598"/>
      <c r="S88" s="598"/>
      <c r="T88" s="598"/>
      <c r="U88" s="598"/>
      <c r="V88" s="598"/>
      <c r="W88" s="598"/>
      <c r="X88" s="598"/>
      <c r="Y88" s="599"/>
    </row>
    <row r="89" spans="1:25" ht="9.9499999999999993" customHeight="1" x14ac:dyDescent="0.25">
      <c r="A89" s="551"/>
      <c r="B89" s="548"/>
      <c r="C89" s="222"/>
      <c r="D89" s="222"/>
      <c r="E89" s="222"/>
      <c r="F89" s="222"/>
      <c r="G89" s="223"/>
      <c r="H89" s="593"/>
      <c r="I89" s="594"/>
      <c r="J89" s="594"/>
      <c r="K89" s="594"/>
      <c r="L89" s="594"/>
      <c r="M89" s="594"/>
      <c r="N89" s="594"/>
      <c r="O89" s="594"/>
      <c r="P89" s="594"/>
      <c r="Q89" s="594"/>
      <c r="R89" s="594"/>
      <c r="S89" s="594"/>
      <c r="T89" s="594"/>
      <c r="U89" s="594"/>
      <c r="V89" s="594"/>
      <c r="W89" s="594"/>
      <c r="X89" s="594"/>
      <c r="Y89" s="595"/>
    </row>
    <row r="90" spans="1:25" ht="9.9499999999999993" customHeight="1" x14ac:dyDescent="0.25">
      <c r="A90" s="549">
        <f t="shared" si="8"/>
        <v>28</v>
      </c>
      <c r="B90" s="548"/>
      <c r="C90" s="220"/>
      <c r="D90" s="220"/>
      <c r="E90" s="220"/>
      <c r="F90" s="220"/>
      <c r="G90" s="221"/>
      <c r="H90" s="590"/>
      <c r="I90" s="591"/>
      <c r="J90" s="591"/>
      <c r="K90" s="591"/>
      <c r="L90" s="591"/>
      <c r="M90" s="591"/>
      <c r="N90" s="591"/>
      <c r="O90" s="591"/>
      <c r="P90" s="591"/>
      <c r="Q90" s="591"/>
      <c r="R90" s="591"/>
      <c r="S90" s="591"/>
      <c r="T90" s="591"/>
      <c r="U90" s="591"/>
      <c r="V90" s="591"/>
      <c r="W90" s="591"/>
      <c r="X90" s="591"/>
      <c r="Y90" s="592"/>
    </row>
    <row r="91" spans="1:25" ht="20.100000000000001" customHeight="1" x14ac:dyDescent="0.25">
      <c r="A91" s="550"/>
      <c r="B91" s="548"/>
      <c r="C91" s="585" t="s">
        <v>165</v>
      </c>
      <c r="D91" s="586"/>
      <c r="E91" s="194"/>
      <c r="F91" s="194"/>
      <c r="G91" s="191"/>
      <c r="H91" s="597"/>
      <c r="I91" s="598"/>
      <c r="J91" s="598"/>
      <c r="K91" s="598"/>
      <c r="L91" s="598"/>
      <c r="M91" s="598"/>
      <c r="N91" s="598"/>
      <c r="O91" s="598"/>
      <c r="P91" s="598"/>
      <c r="Q91" s="598"/>
      <c r="R91" s="598"/>
      <c r="S91" s="598"/>
      <c r="T91" s="598"/>
      <c r="U91" s="598"/>
      <c r="V91" s="598"/>
      <c r="W91" s="598"/>
      <c r="X91" s="598"/>
      <c r="Y91" s="599"/>
    </row>
    <row r="92" spans="1:25" ht="9.9499999999999993" customHeight="1" x14ac:dyDescent="0.25">
      <c r="A92" s="551"/>
      <c r="B92" s="548"/>
      <c r="C92" s="222"/>
      <c r="D92" s="222"/>
      <c r="E92" s="222"/>
      <c r="F92" s="222"/>
      <c r="G92" s="223"/>
      <c r="H92" s="593"/>
      <c r="I92" s="594"/>
      <c r="J92" s="594"/>
      <c r="K92" s="594"/>
      <c r="L92" s="594"/>
      <c r="M92" s="594"/>
      <c r="N92" s="594"/>
      <c r="O92" s="594"/>
      <c r="P92" s="594"/>
      <c r="Q92" s="594"/>
      <c r="R92" s="594"/>
      <c r="S92" s="594"/>
      <c r="T92" s="594"/>
      <c r="U92" s="594"/>
      <c r="V92" s="594"/>
      <c r="W92" s="594"/>
      <c r="X92" s="594"/>
      <c r="Y92" s="595"/>
    </row>
    <row r="93" spans="1:25" ht="9.9499999999999993" customHeight="1" x14ac:dyDescent="0.25">
      <c r="A93" s="549">
        <f t="shared" si="8"/>
        <v>29</v>
      </c>
      <c r="B93" s="548"/>
      <c r="C93" s="220"/>
      <c r="D93" s="220"/>
      <c r="E93" s="220"/>
      <c r="F93" s="220"/>
      <c r="G93" s="221"/>
      <c r="H93" s="590"/>
      <c r="I93" s="591"/>
      <c r="J93" s="591"/>
      <c r="K93" s="591"/>
      <c r="L93" s="591"/>
      <c r="M93" s="591"/>
      <c r="N93" s="591"/>
      <c r="O93" s="591"/>
      <c r="P93" s="591"/>
      <c r="Q93" s="591"/>
      <c r="R93" s="591"/>
      <c r="S93" s="591"/>
      <c r="T93" s="591"/>
      <c r="U93" s="591"/>
      <c r="V93" s="591"/>
      <c r="W93" s="591"/>
      <c r="X93" s="591"/>
      <c r="Y93" s="592"/>
    </row>
    <row r="94" spans="1:25" ht="20.100000000000001" customHeight="1" x14ac:dyDescent="0.25">
      <c r="A94" s="550"/>
      <c r="B94" s="548"/>
      <c r="C94" s="585" t="s">
        <v>165</v>
      </c>
      <c r="D94" s="586"/>
      <c r="E94" s="194"/>
      <c r="F94" s="194"/>
      <c r="G94" s="191"/>
      <c r="H94" s="597"/>
      <c r="I94" s="598"/>
      <c r="J94" s="598"/>
      <c r="K94" s="598"/>
      <c r="L94" s="598"/>
      <c r="M94" s="598"/>
      <c r="N94" s="598"/>
      <c r="O94" s="598"/>
      <c r="P94" s="598"/>
      <c r="Q94" s="598"/>
      <c r="R94" s="598"/>
      <c r="S94" s="598"/>
      <c r="T94" s="598"/>
      <c r="U94" s="598"/>
      <c r="V94" s="598"/>
      <c r="W94" s="598"/>
      <c r="X94" s="598"/>
      <c r="Y94" s="599"/>
    </row>
    <row r="95" spans="1:25" ht="9.9499999999999993" customHeight="1" x14ac:dyDescent="0.25">
      <c r="A95" s="551"/>
      <c r="B95" s="548"/>
      <c r="C95" s="222"/>
      <c r="D95" s="222"/>
      <c r="E95" s="222"/>
      <c r="F95" s="222"/>
      <c r="G95" s="223"/>
      <c r="H95" s="593"/>
      <c r="I95" s="594"/>
      <c r="J95" s="594"/>
      <c r="K95" s="594"/>
      <c r="L95" s="594"/>
      <c r="M95" s="594"/>
      <c r="N95" s="594"/>
      <c r="O95" s="594"/>
      <c r="P95" s="594"/>
      <c r="Q95" s="594"/>
      <c r="R95" s="594"/>
      <c r="S95" s="594"/>
      <c r="T95" s="594"/>
      <c r="U95" s="594"/>
      <c r="V95" s="594"/>
      <c r="W95" s="594"/>
      <c r="X95" s="594"/>
      <c r="Y95" s="595"/>
    </row>
    <row r="96" spans="1:25" ht="9.9499999999999993" customHeight="1" x14ac:dyDescent="0.25">
      <c r="A96" s="549">
        <f t="shared" si="8"/>
        <v>30</v>
      </c>
      <c r="B96" s="548"/>
      <c r="C96" s="220"/>
      <c r="D96" s="220"/>
      <c r="E96" s="220"/>
      <c r="F96" s="220"/>
      <c r="G96" s="221"/>
      <c r="H96" s="590"/>
      <c r="I96" s="591"/>
      <c r="J96" s="591"/>
      <c r="K96" s="591"/>
      <c r="L96" s="591"/>
      <c r="M96" s="591"/>
      <c r="N96" s="591"/>
      <c r="O96" s="591"/>
      <c r="P96" s="591"/>
      <c r="Q96" s="591"/>
      <c r="R96" s="591"/>
      <c r="S96" s="591"/>
      <c r="T96" s="591"/>
      <c r="U96" s="591"/>
      <c r="V96" s="591"/>
      <c r="W96" s="591"/>
      <c r="X96" s="591"/>
      <c r="Y96" s="592"/>
    </row>
    <row r="97" spans="1:25" ht="20.100000000000001" customHeight="1" x14ac:dyDescent="0.25">
      <c r="A97" s="550"/>
      <c r="B97" s="548"/>
      <c r="C97" s="585" t="s">
        <v>165</v>
      </c>
      <c r="D97" s="586"/>
      <c r="E97" s="194"/>
      <c r="F97" s="194"/>
      <c r="G97" s="191"/>
      <c r="H97" s="597"/>
      <c r="I97" s="598"/>
      <c r="J97" s="598"/>
      <c r="K97" s="598"/>
      <c r="L97" s="598"/>
      <c r="M97" s="598"/>
      <c r="N97" s="598"/>
      <c r="O97" s="598"/>
      <c r="P97" s="598"/>
      <c r="Q97" s="598"/>
      <c r="R97" s="598"/>
      <c r="S97" s="598"/>
      <c r="T97" s="598"/>
      <c r="U97" s="598"/>
      <c r="V97" s="598"/>
      <c r="W97" s="598"/>
      <c r="X97" s="598"/>
      <c r="Y97" s="599"/>
    </row>
    <row r="98" spans="1:25" ht="9.9499999999999993" customHeight="1" x14ac:dyDescent="0.25">
      <c r="A98" s="551"/>
      <c r="B98" s="548"/>
      <c r="C98" s="222"/>
      <c r="D98" s="222"/>
      <c r="E98" s="222"/>
      <c r="F98" s="222"/>
      <c r="G98" s="223"/>
      <c r="H98" s="593"/>
      <c r="I98" s="594"/>
      <c r="J98" s="594"/>
      <c r="K98" s="594"/>
      <c r="L98" s="594"/>
      <c r="M98" s="594"/>
      <c r="N98" s="594"/>
      <c r="O98" s="594"/>
      <c r="P98" s="594"/>
      <c r="Q98" s="594"/>
      <c r="R98" s="594"/>
      <c r="S98" s="594"/>
      <c r="T98" s="594"/>
      <c r="U98" s="594"/>
      <c r="V98" s="594"/>
      <c r="W98" s="594"/>
      <c r="X98" s="594"/>
      <c r="Y98" s="595"/>
    </row>
    <row r="99" spans="1:25" ht="9.9499999999999993" customHeight="1" x14ac:dyDescent="0.25">
      <c r="A99" s="549">
        <f t="shared" ref="A99:A126" si="9">1+A96</f>
        <v>31</v>
      </c>
      <c r="B99" s="548"/>
      <c r="C99" s="220"/>
      <c r="D99" s="220"/>
      <c r="E99" s="220"/>
      <c r="F99" s="220"/>
      <c r="G99" s="221"/>
      <c r="H99" s="590"/>
      <c r="I99" s="591"/>
      <c r="J99" s="591"/>
      <c r="K99" s="591"/>
      <c r="L99" s="591"/>
      <c r="M99" s="591"/>
      <c r="N99" s="591"/>
      <c r="O99" s="591"/>
      <c r="P99" s="591"/>
      <c r="Q99" s="591"/>
      <c r="R99" s="591"/>
      <c r="S99" s="591"/>
      <c r="T99" s="591"/>
      <c r="U99" s="591"/>
      <c r="V99" s="591"/>
      <c r="W99" s="591"/>
      <c r="X99" s="591"/>
      <c r="Y99" s="592"/>
    </row>
    <row r="100" spans="1:25" ht="20.100000000000001" customHeight="1" x14ac:dyDescent="0.25">
      <c r="A100" s="550"/>
      <c r="B100" s="548"/>
      <c r="C100" s="585" t="s">
        <v>165</v>
      </c>
      <c r="D100" s="586"/>
      <c r="E100" s="194"/>
      <c r="F100" s="194"/>
      <c r="G100" s="191"/>
      <c r="H100" s="597"/>
      <c r="I100" s="598"/>
      <c r="J100" s="598"/>
      <c r="K100" s="598"/>
      <c r="L100" s="598"/>
      <c r="M100" s="598"/>
      <c r="N100" s="598"/>
      <c r="O100" s="598"/>
      <c r="P100" s="598"/>
      <c r="Q100" s="598"/>
      <c r="R100" s="598"/>
      <c r="S100" s="598"/>
      <c r="T100" s="598"/>
      <c r="U100" s="598"/>
      <c r="V100" s="598"/>
      <c r="W100" s="598"/>
      <c r="X100" s="598"/>
      <c r="Y100" s="599"/>
    </row>
    <row r="101" spans="1:25" ht="9.9499999999999993" customHeight="1" x14ac:dyDescent="0.25">
      <c r="A101" s="551"/>
      <c r="B101" s="548"/>
      <c r="C101" s="222"/>
      <c r="D101" s="222"/>
      <c r="E101" s="222"/>
      <c r="F101" s="222"/>
      <c r="G101" s="223"/>
      <c r="H101" s="593"/>
      <c r="I101" s="594"/>
      <c r="J101" s="594"/>
      <c r="K101" s="594"/>
      <c r="L101" s="594"/>
      <c r="M101" s="594"/>
      <c r="N101" s="594"/>
      <c r="O101" s="594"/>
      <c r="P101" s="594"/>
      <c r="Q101" s="594"/>
      <c r="R101" s="594"/>
      <c r="S101" s="594"/>
      <c r="T101" s="594"/>
      <c r="U101" s="594"/>
      <c r="V101" s="594"/>
      <c r="W101" s="594"/>
      <c r="X101" s="594"/>
      <c r="Y101" s="595"/>
    </row>
    <row r="102" spans="1:25" ht="9.9499999999999993" customHeight="1" x14ac:dyDescent="0.25">
      <c r="A102" s="549">
        <f t="shared" si="9"/>
        <v>32</v>
      </c>
      <c r="B102" s="548"/>
      <c r="C102" s="220"/>
      <c r="D102" s="220"/>
      <c r="E102" s="220"/>
      <c r="F102" s="220"/>
      <c r="G102" s="221"/>
      <c r="H102" s="590"/>
      <c r="I102" s="591"/>
      <c r="J102" s="591"/>
      <c r="K102" s="591"/>
      <c r="L102" s="591"/>
      <c r="M102" s="591"/>
      <c r="N102" s="591"/>
      <c r="O102" s="591"/>
      <c r="P102" s="591"/>
      <c r="Q102" s="591"/>
      <c r="R102" s="591"/>
      <c r="S102" s="591"/>
      <c r="T102" s="591"/>
      <c r="U102" s="591"/>
      <c r="V102" s="591"/>
      <c r="W102" s="591"/>
      <c r="X102" s="591"/>
      <c r="Y102" s="592"/>
    </row>
    <row r="103" spans="1:25" ht="20.100000000000001" customHeight="1" x14ac:dyDescent="0.25">
      <c r="A103" s="550"/>
      <c r="B103" s="548"/>
      <c r="C103" s="585" t="s">
        <v>165</v>
      </c>
      <c r="D103" s="586"/>
      <c r="E103" s="194"/>
      <c r="F103" s="194"/>
      <c r="G103" s="191"/>
      <c r="H103" s="597"/>
      <c r="I103" s="598"/>
      <c r="J103" s="598"/>
      <c r="K103" s="598"/>
      <c r="L103" s="598"/>
      <c r="M103" s="598"/>
      <c r="N103" s="598"/>
      <c r="O103" s="598"/>
      <c r="P103" s="598"/>
      <c r="Q103" s="598"/>
      <c r="R103" s="598"/>
      <c r="S103" s="598"/>
      <c r="T103" s="598"/>
      <c r="U103" s="598"/>
      <c r="V103" s="598"/>
      <c r="W103" s="598"/>
      <c r="X103" s="598"/>
      <c r="Y103" s="599"/>
    </row>
    <row r="104" spans="1:25" ht="9.9499999999999993" customHeight="1" x14ac:dyDescent="0.25">
      <c r="A104" s="551"/>
      <c r="B104" s="548"/>
      <c r="C104" s="222"/>
      <c r="D104" s="222"/>
      <c r="E104" s="222"/>
      <c r="F104" s="222"/>
      <c r="G104" s="223"/>
      <c r="H104" s="593"/>
      <c r="I104" s="594"/>
      <c r="J104" s="594"/>
      <c r="K104" s="594"/>
      <c r="L104" s="594"/>
      <c r="M104" s="594"/>
      <c r="N104" s="594"/>
      <c r="O104" s="594"/>
      <c r="P104" s="594"/>
      <c r="Q104" s="594"/>
      <c r="R104" s="594"/>
      <c r="S104" s="594"/>
      <c r="T104" s="594"/>
      <c r="U104" s="594"/>
      <c r="V104" s="594"/>
      <c r="W104" s="594"/>
      <c r="X104" s="594"/>
      <c r="Y104" s="595"/>
    </row>
    <row r="105" spans="1:25" ht="9.9499999999999993" customHeight="1" x14ac:dyDescent="0.25">
      <c r="A105" s="549">
        <f t="shared" si="9"/>
        <v>33</v>
      </c>
      <c r="B105" s="548"/>
      <c r="C105" s="220"/>
      <c r="D105" s="220"/>
      <c r="E105" s="220"/>
      <c r="F105" s="220"/>
      <c r="G105" s="221"/>
      <c r="H105" s="590"/>
      <c r="I105" s="591"/>
      <c r="J105" s="591"/>
      <c r="K105" s="591"/>
      <c r="L105" s="591"/>
      <c r="M105" s="591"/>
      <c r="N105" s="591"/>
      <c r="O105" s="591"/>
      <c r="P105" s="591"/>
      <c r="Q105" s="591"/>
      <c r="R105" s="591"/>
      <c r="S105" s="591"/>
      <c r="T105" s="591"/>
      <c r="U105" s="591"/>
      <c r="V105" s="591"/>
      <c r="W105" s="591"/>
      <c r="X105" s="591"/>
      <c r="Y105" s="592"/>
    </row>
    <row r="106" spans="1:25" ht="20.100000000000001" customHeight="1" x14ac:dyDescent="0.25">
      <c r="A106" s="550"/>
      <c r="B106" s="548"/>
      <c r="C106" s="585" t="s">
        <v>165</v>
      </c>
      <c r="D106" s="586"/>
      <c r="E106" s="194"/>
      <c r="F106" s="194"/>
      <c r="G106" s="191"/>
      <c r="H106" s="597"/>
      <c r="I106" s="598"/>
      <c r="J106" s="598"/>
      <c r="K106" s="598"/>
      <c r="L106" s="598"/>
      <c r="M106" s="598"/>
      <c r="N106" s="598"/>
      <c r="O106" s="598"/>
      <c r="P106" s="598"/>
      <c r="Q106" s="598"/>
      <c r="R106" s="598"/>
      <c r="S106" s="598"/>
      <c r="T106" s="598"/>
      <c r="U106" s="598"/>
      <c r="V106" s="598"/>
      <c r="W106" s="598"/>
      <c r="X106" s="598"/>
      <c r="Y106" s="599"/>
    </row>
    <row r="107" spans="1:25" ht="9.9499999999999993" customHeight="1" x14ac:dyDescent="0.25">
      <c r="A107" s="551"/>
      <c r="B107" s="548"/>
      <c r="C107" s="222"/>
      <c r="D107" s="222"/>
      <c r="E107" s="222"/>
      <c r="F107" s="222"/>
      <c r="G107" s="223"/>
      <c r="H107" s="593"/>
      <c r="I107" s="594"/>
      <c r="J107" s="594"/>
      <c r="K107" s="594"/>
      <c r="L107" s="594"/>
      <c r="M107" s="594"/>
      <c r="N107" s="594"/>
      <c r="O107" s="594"/>
      <c r="P107" s="594"/>
      <c r="Q107" s="594"/>
      <c r="R107" s="594"/>
      <c r="S107" s="594"/>
      <c r="T107" s="594"/>
      <c r="U107" s="594"/>
      <c r="V107" s="594"/>
      <c r="W107" s="594"/>
      <c r="X107" s="594"/>
      <c r="Y107" s="595"/>
    </row>
    <row r="108" spans="1:25" ht="9.9499999999999993" customHeight="1" x14ac:dyDescent="0.25">
      <c r="A108" s="549">
        <f t="shared" si="9"/>
        <v>34</v>
      </c>
      <c r="B108" s="548"/>
      <c r="C108" s="220"/>
      <c r="D108" s="220"/>
      <c r="E108" s="220"/>
      <c r="F108" s="220"/>
      <c r="G108" s="221"/>
      <c r="H108" s="590"/>
      <c r="I108" s="591"/>
      <c r="J108" s="591"/>
      <c r="K108" s="591"/>
      <c r="L108" s="591"/>
      <c r="M108" s="591"/>
      <c r="N108" s="591"/>
      <c r="O108" s="591"/>
      <c r="P108" s="591"/>
      <c r="Q108" s="591"/>
      <c r="R108" s="591"/>
      <c r="S108" s="591"/>
      <c r="T108" s="591"/>
      <c r="U108" s="591"/>
      <c r="V108" s="591"/>
      <c r="W108" s="591"/>
      <c r="X108" s="591"/>
      <c r="Y108" s="592"/>
    </row>
    <row r="109" spans="1:25" ht="20.100000000000001" customHeight="1" x14ac:dyDescent="0.25">
      <c r="A109" s="550"/>
      <c r="B109" s="548"/>
      <c r="C109" s="585" t="s">
        <v>165</v>
      </c>
      <c r="D109" s="586"/>
      <c r="E109" s="194"/>
      <c r="F109" s="194"/>
      <c r="G109" s="191"/>
      <c r="H109" s="597"/>
      <c r="I109" s="598"/>
      <c r="J109" s="598"/>
      <c r="K109" s="598"/>
      <c r="L109" s="598"/>
      <c r="M109" s="598"/>
      <c r="N109" s="598"/>
      <c r="O109" s="598"/>
      <c r="P109" s="598"/>
      <c r="Q109" s="598"/>
      <c r="R109" s="598"/>
      <c r="S109" s="598"/>
      <c r="T109" s="598"/>
      <c r="U109" s="598"/>
      <c r="V109" s="598"/>
      <c r="W109" s="598"/>
      <c r="X109" s="598"/>
      <c r="Y109" s="599"/>
    </row>
    <row r="110" spans="1:25" ht="9.9499999999999993" customHeight="1" x14ac:dyDescent="0.25">
      <c r="A110" s="551"/>
      <c r="B110" s="548"/>
      <c r="C110" s="222"/>
      <c r="D110" s="222"/>
      <c r="E110" s="222"/>
      <c r="F110" s="222"/>
      <c r="G110" s="223"/>
      <c r="H110" s="593"/>
      <c r="I110" s="594"/>
      <c r="J110" s="594"/>
      <c r="K110" s="594"/>
      <c r="L110" s="594"/>
      <c r="M110" s="594"/>
      <c r="N110" s="594"/>
      <c r="O110" s="594"/>
      <c r="P110" s="594"/>
      <c r="Q110" s="594"/>
      <c r="R110" s="594"/>
      <c r="S110" s="594"/>
      <c r="T110" s="594"/>
      <c r="U110" s="594"/>
      <c r="V110" s="594"/>
      <c r="W110" s="594"/>
      <c r="X110" s="594"/>
      <c r="Y110" s="595"/>
    </row>
    <row r="111" spans="1:25" ht="9.9499999999999993" customHeight="1" x14ac:dyDescent="0.25">
      <c r="A111" s="549">
        <f t="shared" si="9"/>
        <v>35</v>
      </c>
      <c r="B111" s="548"/>
      <c r="C111" s="220"/>
      <c r="D111" s="220"/>
      <c r="E111" s="220"/>
      <c r="F111" s="220"/>
      <c r="G111" s="221"/>
      <c r="H111" s="590"/>
      <c r="I111" s="591"/>
      <c r="J111" s="591"/>
      <c r="K111" s="591"/>
      <c r="L111" s="591"/>
      <c r="M111" s="591"/>
      <c r="N111" s="591"/>
      <c r="O111" s="591"/>
      <c r="P111" s="591"/>
      <c r="Q111" s="591"/>
      <c r="R111" s="591"/>
      <c r="S111" s="591"/>
      <c r="T111" s="591"/>
      <c r="U111" s="591"/>
      <c r="V111" s="591"/>
      <c r="W111" s="591"/>
      <c r="X111" s="591"/>
      <c r="Y111" s="592"/>
    </row>
    <row r="112" spans="1:25" ht="20.100000000000001" customHeight="1" x14ac:dyDescent="0.25">
      <c r="A112" s="550"/>
      <c r="B112" s="548"/>
      <c r="C112" s="585" t="s">
        <v>165</v>
      </c>
      <c r="D112" s="586"/>
      <c r="E112" s="194"/>
      <c r="F112" s="194"/>
      <c r="G112" s="191"/>
      <c r="H112" s="597"/>
      <c r="I112" s="598"/>
      <c r="J112" s="598"/>
      <c r="K112" s="598"/>
      <c r="L112" s="598"/>
      <c r="M112" s="598"/>
      <c r="N112" s="598"/>
      <c r="O112" s="598"/>
      <c r="P112" s="598"/>
      <c r="Q112" s="598"/>
      <c r="R112" s="598"/>
      <c r="S112" s="598"/>
      <c r="T112" s="598"/>
      <c r="U112" s="598"/>
      <c r="V112" s="598"/>
      <c r="W112" s="598"/>
      <c r="X112" s="598"/>
      <c r="Y112" s="599"/>
    </row>
    <row r="113" spans="1:25" ht="9.9499999999999993" customHeight="1" x14ac:dyDescent="0.25">
      <c r="A113" s="551"/>
      <c r="B113" s="548"/>
      <c r="C113" s="222"/>
      <c r="D113" s="222"/>
      <c r="E113" s="222"/>
      <c r="F113" s="222"/>
      <c r="G113" s="223"/>
      <c r="H113" s="593"/>
      <c r="I113" s="594"/>
      <c r="J113" s="594"/>
      <c r="K113" s="594"/>
      <c r="L113" s="594"/>
      <c r="M113" s="594"/>
      <c r="N113" s="594"/>
      <c r="O113" s="594"/>
      <c r="P113" s="594"/>
      <c r="Q113" s="594"/>
      <c r="R113" s="594"/>
      <c r="S113" s="594"/>
      <c r="T113" s="594"/>
      <c r="U113" s="594"/>
      <c r="V113" s="594"/>
      <c r="W113" s="594"/>
      <c r="X113" s="594"/>
      <c r="Y113" s="595"/>
    </row>
    <row r="114" spans="1:25" ht="9.9499999999999993" customHeight="1" x14ac:dyDescent="0.25">
      <c r="A114" s="549">
        <f t="shared" si="9"/>
        <v>36</v>
      </c>
      <c r="B114" s="548"/>
      <c r="C114" s="220"/>
      <c r="D114" s="220"/>
      <c r="E114" s="220"/>
      <c r="F114" s="220"/>
      <c r="G114" s="221"/>
      <c r="H114" s="590"/>
      <c r="I114" s="591"/>
      <c r="J114" s="591"/>
      <c r="K114" s="591"/>
      <c r="L114" s="591"/>
      <c r="M114" s="591"/>
      <c r="N114" s="591"/>
      <c r="O114" s="591"/>
      <c r="P114" s="591"/>
      <c r="Q114" s="591"/>
      <c r="R114" s="591"/>
      <c r="S114" s="591"/>
      <c r="T114" s="591"/>
      <c r="U114" s="591"/>
      <c r="V114" s="591"/>
      <c r="W114" s="591"/>
      <c r="X114" s="591"/>
      <c r="Y114" s="592"/>
    </row>
    <row r="115" spans="1:25" ht="20.100000000000001" customHeight="1" x14ac:dyDescent="0.25">
      <c r="A115" s="550"/>
      <c r="B115" s="548"/>
      <c r="C115" s="585" t="s">
        <v>165</v>
      </c>
      <c r="D115" s="586"/>
      <c r="E115" s="194"/>
      <c r="F115" s="194"/>
      <c r="G115" s="191"/>
      <c r="H115" s="597"/>
      <c r="I115" s="598"/>
      <c r="J115" s="598"/>
      <c r="K115" s="598"/>
      <c r="L115" s="598"/>
      <c r="M115" s="598"/>
      <c r="N115" s="598"/>
      <c r="O115" s="598"/>
      <c r="P115" s="598"/>
      <c r="Q115" s="598"/>
      <c r="R115" s="598"/>
      <c r="S115" s="598"/>
      <c r="T115" s="598"/>
      <c r="U115" s="598"/>
      <c r="V115" s="598"/>
      <c r="W115" s="598"/>
      <c r="X115" s="598"/>
      <c r="Y115" s="599"/>
    </row>
    <row r="116" spans="1:25" ht="9.9499999999999993" customHeight="1" x14ac:dyDescent="0.25">
      <c r="A116" s="551"/>
      <c r="B116" s="548"/>
      <c r="C116" s="222"/>
      <c r="D116" s="222"/>
      <c r="E116" s="222"/>
      <c r="F116" s="222"/>
      <c r="G116" s="223"/>
      <c r="H116" s="593"/>
      <c r="I116" s="594"/>
      <c r="J116" s="594"/>
      <c r="K116" s="594"/>
      <c r="L116" s="594"/>
      <c r="M116" s="594"/>
      <c r="N116" s="594"/>
      <c r="O116" s="594"/>
      <c r="P116" s="594"/>
      <c r="Q116" s="594"/>
      <c r="R116" s="594"/>
      <c r="S116" s="594"/>
      <c r="T116" s="594"/>
      <c r="U116" s="594"/>
      <c r="V116" s="594"/>
      <c r="W116" s="594"/>
      <c r="X116" s="594"/>
      <c r="Y116" s="595"/>
    </row>
    <row r="117" spans="1:25" ht="9.9499999999999993" customHeight="1" x14ac:dyDescent="0.25">
      <c r="A117" s="549">
        <f t="shared" si="9"/>
        <v>37</v>
      </c>
      <c r="B117" s="548"/>
      <c r="C117" s="220"/>
      <c r="D117" s="220"/>
      <c r="E117" s="220"/>
      <c r="F117" s="220"/>
      <c r="G117" s="221"/>
      <c r="H117" s="590"/>
      <c r="I117" s="591"/>
      <c r="J117" s="591"/>
      <c r="K117" s="591"/>
      <c r="L117" s="591"/>
      <c r="M117" s="591"/>
      <c r="N117" s="591"/>
      <c r="O117" s="591"/>
      <c r="P117" s="591"/>
      <c r="Q117" s="591"/>
      <c r="R117" s="591"/>
      <c r="S117" s="591"/>
      <c r="T117" s="591"/>
      <c r="U117" s="591"/>
      <c r="V117" s="591"/>
      <c r="W117" s="591"/>
      <c r="X117" s="591"/>
      <c r="Y117" s="592"/>
    </row>
    <row r="118" spans="1:25" ht="20.100000000000001" customHeight="1" x14ac:dyDescent="0.25">
      <c r="A118" s="550"/>
      <c r="B118" s="548"/>
      <c r="C118" s="585" t="s">
        <v>165</v>
      </c>
      <c r="D118" s="586"/>
      <c r="E118" s="194"/>
      <c r="F118" s="194"/>
      <c r="G118" s="191"/>
      <c r="H118" s="597"/>
      <c r="I118" s="598"/>
      <c r="J118" s="598"/>
      <c r="K118" s="598"/>
      <c r="L118" s="598"/>
      <c r="M118" s="598"/>
      <c r="N118" s="598"/>
      <c r="O118" s="598"/>
      <c r="P118" s="598"/>
      <c r="Q118" s="598"/>
      <c r="R118" s="598"/>
      <c r="S118" s="598"/>
      <c r="T118" s="598"/>
      <c r="U118" s="598"/>
      <c r="V118" s="598"/>
      <c r="W118" s="598"/>
      <c r="X118" s="598"/>
      <c r="Y118" s="599"/>
    </row>
    <row r="119" spans="1:25" ht="9.9499999999999993" customHeight="1" x14ac:dyDescent="0.25">
      <c r="A119" s="551"/>
      <c r="B119" s="548"/>
      <c r="C119" s="222"/>
      <c r="D119" s="222"/>
      <c r="E119" s="222"/>
      <c r="F119" s="222"/>
      <c r="G119" s="223"/>
      <c r="H119" s="593"/>
      <c r="I119" s="594"/>
      <c r="J119" s="594"/>
      <c r="K119" s="594"/>
      <c r="L119" s="594"/>
      <c r="M119" s="594"/>
      <c r="N119" s="594"/>
      <c r="O119" s="594"/>
      <c r="P119" s="594"/>
      <c r="Q119" s="594"/>
      <c r="R119" s="594"/>
      <c r="S119" s="594"/>
      <c r="T119" s="594"/>
      <c r="U119" s="594"/>
      <c r="V119" s="594"/>
      <c r="W119" s="594"/>
      <c r="X119" s="594"/>
      <c r="Y119" s="595"/>
    </row>
    <row r="120" spans="1:25" ht="9.9499999999999993" customHeight="1" x14ac:dyDescent="0.25">
      <c r="A120" s="549">
        <f t="shared" si="9"/>
        <v>38</v>
      </c>
      <c r="B120" s="548"/>
      <c r="C120" s="220"/>
      <c r="D120" s="220"/>
      <c r="E120" s="220"/>
      <c r="F120" s="220"/>
      <c r="G120" s="221"/>
      <c r="H120" s="590"/>
      <c r="I120" s="591"/>
      <c r="J120" s="591"/>
      <c r="K120" s="591"/>
      <c r="L120" s="591"/>
      <c r="M120" s="591"/>
      <c r="N120" s="591"/>
      <c r="O120" s="591"/>
      <c r="P120" s="591"/>
      <c r="Q120" s="591"/>
      <c r="R120" s="591"/>
      <c r="S120" s="591"/>
      <c r="T120" s="591"/>
      <c r="U120" s="591"/>
      <c r="V120" s="591"/>
      <c r="W120" s="591"/>
      <c r="X120" s="591"/>
      <c r="Y120" s="592"/>
    </row>
    <row r="121" spans="1:25" ht="20.100000000000001" customHeight="1" x14ac:dyDescent="0.25">
      <c r="A121" s="550"/>
      <c r="B121" s="548"/>
      <c r="C121" s="585" t="s">
        <v>165</v>
      </c>
      <c r="D121" s="586"/>
      <c r="E121" s="194"/>
      <c r="F121" s="194"/>
      <c r="G121" s="191"/>
      <c r="H121" s="597"/>
      <c r="I121" s="598"/>
      <c r="J121" s="598"/>
      <c r="K121" s="598"/>
      <c r="L121" s="598"/>
      <c r="M121" s="598"/>
      <c r="N121" s="598"/>
      <c r="O121" s="598"/>
      <c r="P121" s="598"/>
      <c r="Q121" s="598"/>
      <c r="R121" s="598"/>
      <c r="S121" s="598"/>
      <c r="T121" s="598"/>
      <c r="U121" s="598"/>
      <c r="V121" s="598"/>
      <c r="W121" s="598"/>
      <c r="X121" s="598"/>
      <c r="Y121" s="599"/>
    </row>
    <row r="122" spans="1:25" ht="9.9499999999999993" customHeight="1" x14ac:dyDescent="0.25">
      <c r="A122" s="551"/>
      <c r="B122" s="548"/>
      <c r="C122" s="222"/>
      <c r="D122" s="222"/>
      <c r="E122" s="222"/>
      <c r="F122" s="222"/>
      <c r="G122" s="223"/>
      <c r="H122" s="593"/>
      <c r="I122" s="594"/>
      <c r="J122" s="594"/>
      <c r="K122" s="594"/>
      <c r="L122" s="594"/>
      <c r="M122" s="594"/>
      <c r="N122" s="594"/>
      <c r="O122" s="594"/>
      <c r="P122" s="594"/>
      <c r="Q122" s="594"/>
      <c r="R122" s="594"/>
      <c r="S122" s="594"/>
      <c r="T122" s="594"/>
      <c r="U122" s="594"/>
      <c r="V122" s="594"/>
      <c r="W122" s="594"/>
      <c r="X122" s="594"/>
      <c r="Y122" s="595"/>
    </row>
    <row r="123" spans="1:25" ht="9.9499999999999993" customHeight="1" x14ac:dyDescent="0.25">
      <c r="A123" s="549">
        <f t="shared" si="9"/>
        <v>39</v>
      </c>
      <c r="B123" s="548"/>
      <c r="C123" s="220"/>
      <c r="D123" s="220"/>
      <c r="E123" s="220"/>
      <c r="F123" s="220"/>
      <c r="G123" s="221"/>
      <c r="H123" s="590"/>
      <c r="I123" s="591"/>
      <c r="J123" s="591"/>
      <c r="K123" s="591"/>
      <c r="L123" s="591"/>
      <c r="M123" s="591"/>
      <c r="N123" s="591"/>
      <c r="O123" s="591"/>
      <c r="P123" s="591"/>
      <c r="Q123" s="591"/>
      <c r="R123" s="591"/>
      <c r="S123" s="591"/>
      <c r="T123" s="591"/>
      <c r="U123" s="591"/>
      <c r="V123" s="591"/>
      <c r="W123" s="591"/>
      <c r="X123" s="591"/>
      <c r="Y123" s="592"/>
    </row>
    <row r="124" spans="1:25" ht="20.100000000000001" customHeight="1" x14ac:dyDescent="0.25">
      <c r="A124" s="550"/>
      <c r="B124" s="548"/>
      <c r="C124" s="585" t="s">
        <v>165</v>
      </c>
      <c r="D124" s="586"/>
      <c r="E124" s="194"/>
      <c r="F124" s="194"/>
      <c r="G124" s="191"/>
      <c r="H124" s="597"/>
      <c r="I124" s="598"/>
      <c r="J124" s="598"/>
      <c r="K124" s="598"/>
      <c r="L124" s="598"/>
      <c r="M124" s="598"/>
      <c r="N124" s="598"/>
      <c r="O124" s="598"/>
      <c r="P124" s="598"/>
      <c r="Q124" s="598"/>
      <c r="R124" s="598"/>
      <c r="S124" s="598"/>
      <c r="T124" s="598"/>
      <c r="U124" s="598"/>
      <c r="V124" s="598"/>
      <c r="W124" s="598"/>
      <c r="X124" s="598"/>
      <c r="Y124" s="599"/>
    </row>
    <row r="125" spans="1:25" ht="9.9499999999999993" customHeight="1" x14ac:dyDescent="0.25">
      <c r="A125" s="551"/>
      <c r="B125" s="548"/>
      <c r="C125" s="222"/>
      <c r="D125" s="222"/>
      <c r="E125" s="222"/>
      <c r="F125" s="222"/>
      <c r="G125" s="223"/>
      <c r="H125" s="593"/>
      <c r="I125" s="594"/>
      <c r="J125" s="594"/>
      <c r="K125" s="594"/>
      <c r="L125" s="594"/>
      <c r="M125" s="594"/>
      <c r="N125" s="594"/>
      <c r="O125" s="594"/>
      <c r="P125" s="594"/>
      <c r="Q125" s="594"/>
      <c r="R125" s="594"/>
      <c r="S125" s="594"/>
      <c r="T125" s="594"/>
      <c r="U125" s="594"/>
      <c r="V125" s="594"/>
      <c r="W125" s="594"/>
      <c r="X125" s="594"/>
      <c r="Y125" s="595"/>
    </row>
    <row r="126" spans="1:25" ht="9.9499999999999993" customHeight="1" x14ac:dyDescent="0.25">
      <c r="A126" s="549">
        <f t="shared" si="9"/>
        <v>40</v>
      </c>
      <c r="B126" s="548"/>
      <c r="C126" s="220"/>
      <c r="D126" s="220"/>
      <c r="E126" s="220"/>
      <c r="F126" s="220"/>
      <c r="G126" s="221"/>
      <c r="H126" s="590"/>
      <c r="I126" s="591"/>
      <c r="J126" s="591"/>
      <c r="K126" s="591"/>
      <c r="L126" s="591"/>
      <c r="M126" s="591"/>
      <c r="N126" s="591"/>
      <c r="O126" s="591"/>
      <c r="P126" s="591"/>
      <c r="Q126" s="591"/>
      <c r="R126" s="591"/>
      <c r="S126" s="591"/>
      <c r="T126" s="591"/>
      <c r="U126" s="591"/>
      <c r="V126" s="591"/>
      <c r="W126" s="591"/>
      <c r="X126" s="591"/>
      <c r="Y126" s="592"/>
    </row>
    <row r="127" spans="1:25" ht="20.100000000000001" customHeight="1" x14ac:dyDescent="0.25">
      <c r="A127" s="550"/>
      <c r="B127" s="548"/>
      <c r="C127" s="585" t="s">
        <v>165</v>
      </c>
      <c r="D127" s="586"/>
      <c r="E127" s="194"/>
      <c r="F127" s="194"/>
      <c r="G127" s="191"/>
      <c r="H127" s="597"/>
      <c r="I127" s="598"/>
      <c r="J127" s="598"/>
      <c r="K127" s="598"/>
      <c r="L127" s="598"/>
      <c r="M127" s="598"/>
      <c r="N127" s="598"/>
      <c r="O127" s="598"/>
      <c r="P127" s="598"/>
      <c r="Q127" s="598"/>
      <c r="R127" s="598"/>
      <c r="S127" s="598"/>
      <c r="T127" s="598"/>
      <c r="U127" s="598"/>
      <c r="V127" s="598"/>
      <c r="W127" s="598"/>
      <c r="X127" s="598"/>
      <c r="Y127" s="599"/>
    </row>
    <row r="128" spans="1:25" ht="9.9499999999999993" customHeight="1" x14ac:dyDescent="0.25">
      <c r="A128" s="551"/>
      <c r="B128" s="548"/>
      <c r="C128" s="222"/>
      <c r="D128" s="222"/>
      <c r="E128" s="222"/>
      <c r="F128" s="222"/>
      <c r="G128" s="223"/>
      <c r="H128" s="593"/>
      <c r="I128" s="594"/>
      <c r="J128" s="594"/>
      <c r="K128" s="594"/>
      <c r="L128" s="594"/>
      <c r="M128" s="594"/>
      <c r="N128" s="594"/>
      <c r="O128" s="594"/>
      <c r="P128" s="594"/>
      <c r="Q128" s="594"/>
      <c r="R128" s="594"/>
      <c r="S128" s="594"/>
      <c r="T128" s="594"/>
      <c r="U128" s="594"/>
      <c r="V128" s="594"/>
      <c r="W128" s="594"/>
      <c r="X128" s="594"/>
      <c r="Y128" s="595"/>
    </row>
  </sheetData>
  <mergeCells count="182">
    <mergeCell ref="A1:O1"/>
    <mergeCell ref="Q1:Y2"/>
    <mergeCell ref="A2:O2"/>
    <mergeCell ref="A4:B4"/>
    <mergeCell ref="C4:K4"/>
    <mergeCell ref="M4:P4"/>
    <mergeCell ref="Q4:R4"/>
    <mergeCell ref="S4:T4"/>
    <mergeCell ref="U4:V4"/>
    <mergeCell ref="W4:Y4"/>
    <mergeCell ref="W5:Y5"/>
    <mergeCell ref="A7:A8"/>
    <mergeCell ref="B7:B8"/>
    <mergeCell ref="C7:G7"/>
    <mergeCell ref="H7:Y8"/>
    <mergeCell ref="C8:G8"/>
    <mergeCell ref="A5:B5"/>
    <mergeCell ref="C5:K5"/>
    <mergeCell ref="M5:P5"/>
    <mergeCell ref="Q5:R5"/>
    <mergeCell ref="S5:T5"/>
    <mergeCell ref="U5:V5"/>
    <mergeCell ref="A15:A17"/>
    <mergeCell ref="B15:B17"/>
    <mergeCell ref="H15:Y17"/>
    <mergeCell ref="C16:D16"/>
    <mergeCell ref="A18:A20"/>
    <mergeCell ref="B18:B20"/>
    <mergeCell ref="H18:Y20"/>
    <mergeCell ref="C19:D19"/>
    <mergeCell ref="A9:A11"/>
    <mergeCell ref="B9:B11"/>
    <mergeCell ref="H9:Y11"/>
    <mergeCell ref="C10:D10"/>
    <mergeCell ref="A12:A14"/>
    <mergeCell ref="B12:B14"/>
    <mergeCell ref="H12:Y14"/>
    <mergeCell ref="C13:D13"/>
    <mergeCell ref="A27:A29"/>
    <mergeCell ref="B27:B29"/>
    <mergeCell ref="H27:Y29"/>
    <mergeCell ref="C28:D28"/>
    <mergeCell ref="A30:A32"/>
    <mergeCell ref="B30:B32"/>
    <mergeCell ref="H30:Y32"/>
    <mergeCell ref="C31:D31"/>
    <mergeCell ref="A21:A23"/>
    <mergeCell ref="B21:B23"/>
    <mergeCell ref="H21:Y23"/>
    <mergeCell ref="C22:D22"/>
    <mergeCell ref="A24:A26"/>
    <mergeCell ref="B24:B26"/>
    <mergeCell ref="H24:Y26"/>
    <mergeCell ref="C25:D25"/>
    <mergeCell ref="A39:A41"/>
    <mergeCell ref="B39:B41"/>
    <mergeCell ref="H39:Y41"/>
    <mergeCell ref="C40:D40"/>
    <mergeCell ref="A42:A44"/>
    <mergeCell ref="B42:B44"/>
    <mergeCell ref="H42:Y44"/>
    <mergeCell ref="C43:D43"/>
    <mergeCell ref="A33:A35"/>
    <mergeCell ref="B33:B35"/>
    <mergeCell ref="H33:Y35"/>
    <mergeCell ref="C34:D34"/>
    <mergeCell ref="A36:A38"/>
    <mergeCell ref="B36:B38"/>
    <mergeCell ref="H36:Y38"/>
    <mergeCell ref="C37:D37"/>
    <mergeCell ref="A51:A53"/>
    <mergeCell ref="B51:B53"/>
    <mergeCell ref="H51:Y53"/>
    <mergeCell ref="C52:D52"/>
    <mergeCell ref="A54:A56"/>
    <mergeCell ref="B54:B56"/>
    <mergeCell ref="H54:Y56"/>
    <mergeCell ref="C55:D55"/>
    <mergeCell ref="A45:A47"/>
    <mergeCell ref="B45:B47"/>
    <mergeCell ref="H45:Y47"/>
    <mergeCell ref="C46:D46"/>
    <mergeCell ref="A48:A50"/>
    <mergeCell ref="B48:B50"/>
    <mergeCell ref="H48:Y50"/>
    <mergeCell ref="C49:D49"/>
    <mergeCell ref="A63:A65"/>
    <mergeCell ref="B63:B65"/>
    <mergeCell ref="H63:Y65"/>
    <mergeCell ref="C64:D64"/>
    <mergeCell ref="A66:A68"/>
    <mergeCell ref="B66:B68"/>
    <mergeCell ref="H66:Y68"/>
    <mergeCell ref="C67:D67"/>
    <mergeCell ref="A57:A59"/>
    <mergeCell ref="B57:B59"/>
    <mergeCell ref="H57:Y59"/>
    <mergeCell ref="C58:D58"/>
    <mergeCell ref="A60:A62"/>
    <mergeCell ref="B60:B62"/>
    <mergeCell ref="H60:Y62"/>
    <mergeCell ref="C61:D61"/>
    <mergeCell ref="A75:A77"/>
    <mergeCell ref="B75:B77"/>
    <mergeCell ref="H75:Y77"/>
    <mergeCell ref="C76:D76"/>
    <mergeCell ref="A78:A80"/>
    <mergeCell ref="B78:B80"/>
    <mergeCell ref="H78:Y80"/>
    <mergeCell ref="C79:D79"/>
    <mergeCell ref="A69:A71"/>
    <mergeCell ref="B69:B71"/>
    <mergeCell ref="H69:Y71"/>
    <mergeCell ref="C70:D70"/>
    <mergeCell ref="A72:A74"/>
    <mergeCell ref="B72:B74"/>
    <mergeCell ref="H72:Y74"/>
    <mergeCell ref="C73:D73"/>
    <mergeCell ref="A87:A89"/>
    <mergeCell ref="B87:B89"/>
    <mergeCell ref="H87:Y89"/>
    <mergeCell ref="C88:D88"/>
    <mergeCell ref="A90:A92"/>
    <mergeCell ref="B90:B92"/>
    <mergeCell ref="H90:Y92"/>
    <mergeCell ref="C91:D91"/>
    <mergeCell ref="A81:A83"/>
    <mergeCell ref="B81:B83"/>
    <mergeCell ref="H81:Y83"/>
    <mergeCell ref="C82:D82"/>
    <mergeCell ref="A84:A86"/>
    <mergeCell ref="B84:B86"/>
    <mergeCell ref="H84:Y86"/>
    <mergeCell ref="C85:D85"/>
    <mergeCell ref="A99:A101"/>
    <mergeCell ref="B99:B101"/>
    <mergeCell ref="H99:Y101"/>
    <mergeCell ref="C100:D100"/>
    <mergeCell ref="A102:A104"/>
    <mergeCell ref="B102:B104"/>
    <mergeCell ref="H102:Y104"/>
    <mergeCell ref="C103:D103"/>
    <mergeCell ref="A93:A95"/>
    <mergeCell ref="B93:B95"/>
    <mergeCell ref="H93:Y95"/>
    <mergeCell ref="C94:D94"/>
    <mergeCell ref="A96:A98"/>
    <mergeCell ref="B96:B98"/>
    <mergeCell ref="H96:Y98"/>
    <mergeCell ref="C97:D97"/>
    <mergeCell ref="A111:A113"/>
    <mergeCell ref="B111:B113"/>
    <mergeCell ref="H111:Y113"/>
    <mergeCell ref="C112:D112"/>
    <mergeCell ref="A114:A116"/>
    <mergeCell ref="B114:B116"/>
    <mergeCell ref="H114:Y116"/>
    <mergeCell ref="C115:D115"/>
    <mergeCell ref="A105:A107"/>
    <mergeCell ref="B105:B107"/>
    <mergeCell ref="H105:Y107"/>
    <mergeCell ref="C106:D106"/>
    <mergeCell ref="A108:A110"/>
    <mergeCell ref="B108:B110"/>
    <mergeCell ref="H108:Y110"/>
    <mergeCell ref="C109:D109"/>
    <mergeCell ref="A123:A125"/>
    <mergeCell ref="B123:B125"/>
    <mergeCell ref="H123:Y125"/>
    <mergeCell ref="C124:D124"/>
    <mergeCell ref="A126:A128"/>
    <mergeCell ref="B126:B128"/>
    <mergeCell ref="H126:Y128"/>
    <mergeCell ref="C127:D127"/>
    <mergeCell ref="A117:A119"/>
    <mergeCell ref="B117:B119"/>
    <mergeCell ref="H117:Y119"/>
    <mergeCell ref="C118:D118"/>
    <mergeCell ref="A120:A122"/>
    <mergeCell ref="B120:B122"/>
    <mergeCell ref="H120:Y122"/>
    <mergeCell ref="C121:D121"/>
  </mergeCells>
  <pageMargins left="0.39370078740157483" right="0.39370078740157483" top="0.39370078740157483" bottom="0.78740157480314965" header="0" footer="0.39370078740157483"/>
  <pageSetup paperSize="9" orientation="landscape" horizontalDpi="300" r:id="rId1"/>
  <headerFooter>
    <oddFooter>Страница  &amp;P из &amp;N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28"/>
  <sheetViews>
    <sheetView view="pageBreakPreview" zoomScaleSheetLayoutView="100" workbookViewId="0">
      <selection sqref="A1:O1"/>
    </sheetView>
  </sheetViews>
  <sheetFormatPr defaultColWidth="9.140625" defaultRowHeight="15" x14ac:dyDescent="0.25"/>
  <cols>
    <col min="1" max="1" width="5.7109375" style="14" customWidth="1"/>
    <col min="2" max="2" width="10.7109375" style="14" customWidth="1"/>
    <col min="3" max="3" width="15.7109375" style="14" customWidth="1"/>
    <col min="4" max="4" width="0.85546875" style="14" customWidth="1"/>
    <col min="5" max="6" width="3.28515625" style="14" customWidth="1"/>
    <col min="7" max="7" width="0.85546875" style="14" customWidth="1"/>
    <col min="8" max="8" width="15.7109375" style="14" customWidth="1"/>
    <col min="9" max="9" width="0.85546875" style="14" customWidth="1"/>
    <col min="10" max="11" width="3.28515625" style="14" customWidth="1"/>
    <col min="12" max="12" width="0.85546875" style="14" customWidth="1"/>
    <col min="13" max="25" width="5.7109375" style="14" customWidth="1"/>
    <col min="26" max="16384" width="9.140625" style="14"/>
  </cols>
  <sheetData>
    <row r="1" spans="1:28" ht="21" customHeight="1" x14ac:dyDescent="0.25">
      <c r="A1" s="566" t="str">
        <f>НазваниеПолное</f>
        <v>Ралли "Skoda Rally Weekend - 2017"</v>
      </c>
      <c r="B1" s="567"/>
      <c r="C1" s="567"/>
      <c r="D1" s="567"/>
      <c r="E1" s="567"/>
      <c r="F1" s="567"/>
      <c r="G1" s="567"/>
      <c r="H1" s="567"/>
      <c r="I1" s="567"/>
      <c r="J1" s="567"/>
      <c r="K1" s="567"/>
      <c r="L1" s="567"/>
      <c r="M1" s="567"/>
      <c r="N1" s="567"/>
      <c r="O1" s="568"/>
      <c r="P1" s="193"/>
      <c r="Q1" s="569" t="str">
        <f ca="1">INDIRECT(ADDRESS($AB$1,1,,,"Общее"))</f>
        <v>КВ-4 Финиш Skoda</v>
      </c>
      <c r="R1" s="569"/>
      <c r="S1" s="569"/>
      <c r="T1" s="569"/>
      <c r="U1" s="569"/>
      <c r="V1" s="569"/>
      <c r="W1" s="569"/>
      <c r="X1" s="569"/>
      <c r="Y1" s="569"/>
      <c r="AA1" s="14" t="s">
        <v>153</v>
      </c>
      <c r="AB1" s="14">
        <v>24</v>
      </c>
    </row>
    <row r="2" spans="1:28" ht="21" customHeight="1" x14ac:dyDescent="0.25">
      <c r="A2" s="570" t="s">
        <v>11</v>
      </c>
      <c r="B2" s="571"/>
      <c r="C2" s="571"/>
      <c r="D2" s="571"/>
      <c r="E2" s="571"/>
      <c r="F2" s="571"/>
      <c r="G2" s="571"/>
      <c r="H2" s="571"/>
      <c r="I2" s="571"/>
      <c r="J2" s="571"/>
      <c r="K2" s="571"/>
      <c r="L2" s="571"/>
      <c r="M2" s="571"/>
      <c r="N2" s="571"/>
      <c r="O2" s="572"/>
      <c r="P2" s="192"/>
      <c r="Q2" s="569"/>
      <c r="R2" s="569"/>
      <c r="S2" s="569"/>
      <c r="T2" s="569"/>
      <c r="U2" s="569"/>
      <c r="V2" s="569"/>
      <c r="W2" s="569"/>
      <c r="X2" s="569"/>
      <c r="Y2" s="569"/>
    </row>
    <row r="3" spans="1:28" ht="2.1" customHeight="1" x14ac:dyDescent="0.25">
      <c r="A3" s="18"/>
      <c r="B3" s="18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2"/>
      <c r="N3" s="182"/>
      <c r="O3" s="182"/>
      <c r="P3" s="182"/>
    </row>
    <row r="4" spans="1:28" ht="20.100000000000001" customHeight="1" x14ac:dyDescent="0.25">
      <c r="A4" s="548" t="s">
        <v>12</v>
      </c>
      <c r="B4" s="548"/>
      <c r="C4" s="573" t="str">
        <f ca="1">INDIRECT(ADDRESS($AB$1,12,,,"Общее"))</f>
        <v>Борисов+</v>
      </c>
      <c r="D4" s="573"/>
      <c r="E4" s="573"/>
      <c r="F4" s="573"/>
      <c r="G4" s="573"/>
      <c r="H4" s="573"/>
      <c r="I4" s="573"/>
      <c r="J4" s="573"/>
      <c r="K4" s="573"/>
      <c r="M4" s="548" t="s">
        <v>268</v>
      </c>
      <c r="N4" s="548"/>
      <c r="O4" s="548"/>
      <c r="P4" s="548"/>
      <c r="Q4" s="548" t="s">
        <v>136</v>
      </c>
      <c r="R4" s="548"/>
      <c r="S4" s="554">
        <f ca="1">INDIRECT(ADDRESS($AB$1,9,,,"Общее"))</f>
        <v>0.60278238626477421</v>
      </c>
      <c r="T4" s="554"/>
      <c r="U4" s="548" t="s">
        <v>135</v>
      </c>
      <c r="V4" s="548"/>
      <c r="W4" s="552" t="s">
        <v>164</v>
      </c>
      <c r="X4" s="552"/>
      <c r="Y4" s="552"/>
    </row>
    <row r="5" spans="1:28" ht="20.100000000000001" customHeight="1" x14ac:dyDescent="0.25">
      <c r="A5" s="548" t="s">
        <v>13</v>
      </c>
      <c r="B5" s="548"/>
      <c r="C5" s="548"/>
      <c r="D5" s="548"/>
      <c r="E5" s="548"/>
      <c r="F5" s="548"/>
      <c r="G5" s="548"/>
      <c r="H5" s="548"/>
      <c r="I5" s="548"/>
      <c r="J5" s="548"/>
      <c r="K5" s="548"/>
      <c r="M5" s="548" t="s">
        <v>269</v>
      </c>
      <c r="N5" s="548"/>
      <c r="O5" s="548"/>
      <c r="P5" s="548"/>
      <c r="Q5" s="548" t="s">
        <v>136</v>
      </c>
      <c r="R5" s="548"/>
      <c r="S5" s="554">
        <f ca="1">INDIRECT(ADDRESS($AB$1,11,,,"Общее"))</f>
        <v>0.65833794182032968</v>
      </c>
      <c r="T5" s="554"/>
      <c r="U5" s="548" t="s">
        <v>135</v>
      </c>
      <c r="V5" s="548"/>
      <c r="W5" s="552" t="s">
        <v>164</v>
      </c>
      <c r="X5" s="552"/>
      <c r="Y5" s="552"/>
    </row>
    <row r="6" spans="1:28" ht="2.1" customHeight="1" x14ac:dyDescent="0.25">
      <c r="A6" s="180"/>
      <c r="B6" s="180"/>
      <c r="C6" s="60"/>
      <c r="D6" s="60"/>
      <c r="E6" s="180"/>
      <c r="F6" s="180"/>
      <c r="G6" s="180"/>
      <c r="H6" s="60"/>
      <c r="I6" s="60"/>
      <c r="J6" s="180"/>
      <c r="K6" s="180"/>
      <c r="L6" s="180"/>
      <c r="M6" s="179"/>
      <c r="N6" s="179"/>
      <c r="O6" s="179"/>
      <c r="P6" s="179"/>
    </row>
    <row r="7" spans="1:28" ht="20.100000000000001" customHeight="1" x14ac:dyDescent="0.25">
      <c r="A7" s="553"/>
      <c r="B7" s="548" t="s">
        <v>0</v>
      </c>
      <c r="C7" s="587" t="s">
        <v>198</v>
      </c>
      <c r="D7" s="588"/>
      <c r="E7" s="588"/>
      <c r="F7" s="588"/>
      <c r="G7" s="589"/>
      <c r="H7" s="590" t="s">
        <v>80</v>
      </c>
      <c r="I7" s="591"/>
      <c r="J7" s="591"/>
      <c r="K7" s="591"/>
      <c r="L7" s="591"/>
      <c r="M7" s="591"/>
      <c r="N7" s="591"/>
      <c r="O7" s="591"/>
      <c r="P7" s="591"/>
      <c r="Q7" s="591"/>
      <c r="R7" s="591"/>
      <c r="S7" s="591"/>
      <c r="T7" s="591"/>
      <c r="U7" s="591"/>
      <c r="V7" s="591"/>
      <c r="W7" s="591"/>
      <c r="X7" s="591"/>
      <c r="Y7" s="592"/>
      <c r="AA7" s="14" t="s">
        <v>276</v>
      </c>
    </row>
    <row r="8" spans="1:28" ht="20.100000000000001" customHeight="1" x14ac:dyDescent="0.25">
      <c r="A8" s="553"/>
      <c r="B8" s="548"/>
      <c r="C8" s="587" t="s">
        <v>270</v>
      </c>
      <c r="D8" s="588"/>
      <c r="E8" s="588"/>
      <c r="F8" s="588"/>
      <c r="G8" s="589"/>
      <c r="H8" s="593"/>
      <c r="I8" s="594"/>
      <c r="J8" s="594"/>
      <c r="K8" s="594"/>
      <c r="L8" s="594"/>
      <c r="M8" s="594"/>
      <c r="N8" s="594"/>
      <c r="O8" s="594"/>
      <c r="P8" s="594"/>
      <c r="Q8" s="594"/>
      <c r="R8" s="594"/>
      <c r="S8" s="594"/>
      <c r="T8" s="594"/>
      <c r="U8" s="594"/>
      <c r="V8" s="594"/>
      <c r="W8" s="594"/>
      <c r="X8" s="594"/>
      <c r="Y8" s="595"/>
      <c r="AA8" s="14" t="s">
        <v>274</v>
      </c>
    </row>
    <row r="9" spans="1:28" ht="9.9499999999999993" customHeight="1" x14ac:dyDescent="0.25">
      <c r="A9" s="549">
        <v>1</v>
      </c>
      <c r="B9" s="548"/>
      <c r="C9" s="188"/>
      <c r="D9" s="188"/>
      <c r="E9" s="188"/>
      <c r="F9" s="188"/>
      <c r="G9" s="189"/>
      <c r="H9" s="590"/>
      <c r="I9" s="591"/>
      <c r="J9" s="591"/>
      <c r="K9" s="591"/>
      <c r="L9" s="591"/>
      <c r="M9" s="591"/>
      <c r="N9" s="591"/>
      <c r="O9" s="591"/>
      <c r="P9" s="591"/>
      <c r="Q9" s="591"/>
      <c r="R9" s="591"/>
      <c r="S9" s="591"/>
      <c r="T9" s="591"/>
      <c r="U9" s="591"/>
      <c r="V9" s="591"/>
      <c r="W9" s="591"/>
      <c r="X9" s="591"/>
      <c r="Y9" s="592"/>
      <c r="AA9" s="14" t="s">
        <v>275</v>
      </c>
    </row>
    <row r="10" spans="1:28" s="27" customFormat="1" ht="20.100000000000001" customHeight="1" x14ac:dyDescent="0.25">
      <c r="A10" s="550"/>
      <c r="B10" s="548"/>
      <c r="C10" s="585" t="s">
        <v>165</v>
      </c>
      <c r="D10" s="586"/>
      <c r="E10" s="195"/>
      <c r="F10" s="195"/>
      <c r="G10" s="191"/>
      <c r="H10" s="597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  <c r="U10" s="598"/>
      <c r="V10" s="598"/>
      <c r="W10" s="598"/>
      <c r="X10" s="598"/>
      <c r="Y10" s="599"/>
    </row>
    <row r="11" spans="1:28" ht="9.9499999999999993" customHeight="1" x14ac:dyDescent="0.25">
      <c r="A11" s="551"/>
      <c r="B11" s="548"/>
      <c r="C11" s="183"/>
      <c r="D11" s="183"/>
      <c r="E11" s="183"/>
      <c r="F11" s="183"/>
      <c r="G11" s="190"/>
      <c r="H11" s="593"/>
      <c r="I11" s="594"/>
      <c r="J11" s="594"/>
      <c r="K11" s="594"/>
      <c r="L11" s="594"/>
      <c r="M11" s="594"/>
      <c r="N11" s="594"/>
      <c r="O11" s="594"/>
      <c r="P11" s="594"/>
      <c r="Q11" s="594"/>
      <c r="R11" s="594"/>
      <c r="S11" s="594"/>
      <c r="T11" s="594"/>
      <c r="U11" s="594"/>
      <c r="V11" s="594"/>
      <c r="W11" s="594"/>
      <c r="X11" s="594"/>
      <c r="Y11" s="595"/>
    </row>
    <row r="12" spans="1:28" ht="9.9499999999999993" customHeight="1" x14ac:dyDescent="0.25">
      <c r="A12" s="549">
        <f>1+A9</f>
        <v>2</v>
      </c>
      <c r="B12" s="548"/>
      <c r="C12" s="188"/>
      <c r="D12" s="188"/>
      <c r="E12" s="188"/>
      <c r="F12" s="188"/>
      <c r="G12" s="189"/>
      <c r="H12" s="590"/>
      <c r="I12" s="591"/>
      <c r="J12" s="591"/>
      <c r="K12" s="591"/>
      <c r="L12" s="591"/>
      <c r="M12" s="591"/>
      <c r="N12" s="591"/>
      <c r="O12" s="591"/>
      <c r="P12" s="591"/>
      <c r="Q12" s="591"/>
      <c r="R12" s="591"/>
      <c r="S12" s="591"/>
      <c r="T12" s="591"/>
      <c r="U12" s="591"/>
      <c r="V12" s="591"/>
      <c r="W12" s="591"/>
      <c r="X12" s="591"/>
      <c r="Y12" s="592"/>
    </row>
    <row r="13" spans="1:28" s="27" customFormat="1" ht="20.100000000000001" customHeight="1" x14ac:dyDescent="0.25">
      <c r="A13" s="550"/>
      <c r="B13" s="548"/>
      <c r="C13" s="585" t="s">
        <v>165</v>
      </c>
      <c r="D13" s="586"/>
      <c r="E13" s="195"/>
      <c r="F13" s="195"/>
      <c r="G13" s="191"/>
      <c r="H13" s="597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  <c r="U13" s="598"/>
      <c r="V13" s="598"/>
      <c r="W13" s="598"/>
      <c r="X13" s="598"/>
      <c r="Y13" s="599"/>
    </row>
    <row r="14" spans="1:28" ht="9.9499999999999993" customHeight="1" x14ac:dyDescent="0.25">
      <c r="A14" s="551"/>
      <c r="B14" s="548"/>
      <c r="C14" s="183"/>
      <c r="D14" s="183"/>
      <c r="E14" s="183"/>
      <c r="F14" s="183"/>
      <c r="G14" s="190"/>
      <c r="H14" s="593"/>
      <c r="I14" s="594"/>
      <c r="J14" s="594"/>
      <c r="K14" s="594"/>
      <c r="L14" s="594"/>
      <c r="M14" s="594"/>
      <c r="N14" s="594"/>
      <c r="O14" s="594"/>
      <c r="P14" s="594"/>
      <c r="Q14" s="594"/>
      <c r="R14" s="594"/>
      <c r="S14" s="594"/>
      <c r="T14" s="594"/>
      <c r="U14" s="594"/>
      <c r="V14" s="594"/>
      <c r="W14" s="594"/>
      <c r="X14" s="594"/>
      <c r="Y14" s="595"/>
    </row>
    <row r="15" spans="1:28" ht="9.9499999999999993" customHeight="1" x14ac:dyDescent="0.25">
      <c r="A15" s="549">
        <f>1+A12</f>
        <v>3</v>
      </c>
      <c r="B15" s="548"/>
      <c r="C15" s="188"/>
      <c r="D15" s="188"/>
      <c r="E15" s="188"/>
      <c r="F15" s="188"/>
      <c r="G15" s="189"/>
      <c r="H15" s="590"/>
      <c r="I15" s="591"/>
      <c r="J15" s="591"/>
      <c r="K15" s="591"/>
      <c r="L15" s="591"/>
      <c r="M15" s="591"/>
      <c r="N15" s="591"/>
      <c r="O15" s="591"/>
      <c r="P15" s="591"/>
      <c r="Q15" s="591"/>
      <c r="R15" s="591"/>
      <c r="S15" s="591"/>
      <c r="T15" s="591"/>
      <c r="U15" s="591"/>
      <c r="V15" s="591"/>
      <c r="W15" s="591"/>
      <c r="X15" s="591"/>
      <c r="Y15" s="592"/>
    </row>
    <row r="16" spans="1:28" s="27" customFormat="1" ht="20.100000000000001" customHeight="1" x14ac:dyDescent="0.25">
      <c r="A16" s="550"/>
      <c r="B16" s="548"/>
      <c r="C16" s="585" t="s">
        <v>165</v>
      </c>
      <c r="D16" s="586"/>
      <c r="E16" s="195"/>
      <c r="F16" s="195"/>
      <c r="G16" s="191"/>
      <c r="H16" s="597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  <c r="U16" s="598"/>
      <c r="V16" s="598"/>
      <c r="W16" s="598"/>
      <c r="X16" s="598"/>
      <c r="Y16" s="599"/>
    </row>
    <row r="17" spans="1:25" ht="9.9499999999999993" customHeight="1" x14ac:dyDescent="0.25">
      <c r="A17" s="551"/>
      <c r="B17" s="548"/>
      <c r="C17" s="183"/>
      <c r="D17" s="183"/>
      <c r="E17" s="183"/>
      <c r="F17" s="183"/>
      <c r="G17" s="190"/>
      <c r="H17" s="593"/>
      <c r="I17" s="594"/>
      <c r="J17" s="594"/>
      <c r="K17" s="594"/>
      <c r="L17" s="594"/>
      <c r="M17" s="594"/>
      <c r="N17" s="594"/>
      <c r="O17" s="594"/>
      <c r="P17" s="594"/>
      <c r="Q17" s="594"/>
      <c r="R17" s="594"/>
      <c r="S17" s="594"/>
      <c r="T17" s="594"/>
      <c r="U17" s="594"/>
      <c r="V17" s="594"/>
      <c r="W17" s="594"/>
      <c r="X17" s="594"/>
      <c r="Y17" s="595"/>
    </row>
    <row r="18" spans="1:25" ht="9.9499999999999993" customHeight="1" x14ac:dyDescent="0.25">
      <c r="A18" s="549">
        <f t="shared" ref="A18" si="0">1+A15</f>
        <v>4</v>
      </c>
      <c r="B18" s="548"/>
      <c r="C18" s="188"/>
      <c r="D18" s="188"/>
      <c r="E18" s="188"/>
      <c r="F18" s="188"/>
      <c r="G18" s="189"/>
      <c r="H18" s="590"/>
      <c r="I18" s="591"/>
      <c r="J18" s="591"/>
      <c r="K18" s="591"/>
      <c r="L18" s="591"/>
      <c r="M18" s="591"/>
      <c r="N18" s="591"/>
      <c r="O18" s="591"/>
      <c r="P18" s="591"/>
      <c r="Q18" s="591"/>
      <c r="R18" s="591"/>
      <c r="S18" s="591"/>
      <c r="T18" s="591"/>
      <c r="U18" s="591"/>
      <c r="V18" s="591"/>
      <c r="W18" s="591"/>
      <c r="X18" s="591"/>
      <c r="Y18" s="592"/>
    </row>
    <row r="19" spans="1:25" s="27" customFormat="1" ht="20.100000000000001" customHeight="1" x14ac:dyDescent="0.25">
      <c r="A19" s="550"/>
      <c r="B19" s="548"/>
      <c r="C19" s="585" t="s">
        <v>165</v>
      </c>
      <c r="D19" s="586"/>
      <c r="E19" s="195"/>
      <c r="F19" s="195"/>
      <c r="G19" s="191"/>
      <c r="H19" s="597"/>
      <c r="I19" s="598"/>
      <c r="J19" s="598"/>
      <c r="K19" s="598"/>
      <c r="L19" s="598"/>
      <c r="M19" s="598"/>
      <c r="N19" s="598"/>
      <c r="O19" s="598"/>
      <c r="P19" s="598"/>
      <c r="Q19" s="598"/>
      <c r="R19" s="598"/>
      <c r="S19" s="598"/>
      <c r="T19" s="598"/>
      <c r="U19" s="598"/>
      <c r="V19" s="598"/>
      <c r="W19" s="598"/>
      <c r="X19" s="598"/>
      <c r="Y19" s="599"/>
    </row>
    <row r="20" spans="1:25" ht="9.9499999999999993" customHeight="1" x14ac:dyDescent="0.25">
      <c r="A20" s="551"/>
      <c r="B20" s="548"/>
      <c r="C20" s="183"/>
      <c r="D20" s="183"/>
      <c r="E20" s="183"/>
      <c r="F20" s="183"/>
      <c r="G20" s="190"/>
      <c r="H20" s="593"/>
      <c r="I20" s="594"/>
      <c r="J20" s="594"/>
      <c r="K20" s="594"/>
      <c r="L20" s="594"/>
      <c r="M20" s="594"/>
      <c r="N20" s="594"/>
      <c r="O20" s="594"/>
      <c r="P20" s="594"/>
      <c r="Q20" s="594"/>
      <c r="R20" s="594"/>
      <c r="S20" s="594"/>
      <c r="T20" s="594"/>
      <c r="U20" s="594"/>
      <c r="V20" s="594"/>
      <c r="W20" s="594"/>
      <c r="X20" s="594"/>
      <c r="Y20" s="595"/>
    </row>
    <row r="21" spans="1:25" ht="9.9499999999999993" customHeight="1" x14ac:dyDescent="0.25">
      <c r="A21" s="549">
        <f t="shared" ref="A21" si="1">1+A18</f>
        <v>5</v>
      </c>
      <c r="B21" s="548"/>
      <c r="C21" s="188"/>
      <c r="D21" s="188"/>
      <c r="E21" s="188"/>
      <c r="F21" s="188"/>
      <c r="G21" s="189"/>
      <c r="H21" s="590"/>
      <c r="I21" s="591"/>
      <c r="J21" s="591"/>
      <c r="K21" s="591"/>
      <c r="L21" s="591"/>
      <c r="M21" s="591"/>
      <c r="N21" s="591"/>
      <c r="O21" s="591"/>
      <c r="P21" s="591"/>
      <c r="Q21" s="591"/>
      <c r="R21" s="591"/>
      <c r="S21" s="591"/>
      <c r="T21" s="591"/>
      <c r="U21" s="591"/>
      <c r="V21" s="591"/>
      <c r="W21" s="591"/>
      <c r="X21" s="591"/>
      <c r="Y21" s="592"/>
    </row>
    <row r="22" spans="1:25" s="27" customFormat="1" ht="20.100000000000001" customHeight="1" x14ac:dyDescent="0.25">
      <c r="A22" s="550"/>
      <c r="B22" s="548"/>
      <c r="C22" s="585" t="s">
        <v>165</v>
      </c>
      <c r="D22" s="586"/>
      <c r="E22" s="195"/>
      <c r="F22" s="195"/>
      <c r="G22" s="191"/>
      <c r="H22" s="597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  <c r="U22" s="598"/>
      <c r="V22" s="598"/>
      <c r="W22" s="598"/>
      <c r="X22" s="598"/>
      <c r="Y22" s="599"/>
    </row>
    <row r="23" spans="1:25" ht="9.9499999999999993" customHeight="1" x14ac:dyDescent="0.25">
      <c r="A23" s="551"/>
      <c r="B23" s="548"/>
      <c r="C23" s="183"/>
      <c r="D23" s="183"/>
      <c r="E23" s="183"/>
      <c r="F23" s="183"/>
      <c r="G23" s="190"/>
      <c r="H23" s="593"/>
      <c r="I23" s="594"/>
      <c r="J23" s="594"/>
      <c r="K23" s="594"/>
      <c r="L23" s="594"/>
      <c r="M23" s="594"/>
      <c r="N23" s="594"/>
      <c r="O23" s="594"/>
      <c r="P23" s="594"/>
      <c r="Q23" s="594"/>
      <c r="R23" s="594"/>
      <c r="S23" s="594"/>
      <c r="T23" s="594"/>
      <c r="U23" s="594"/>
      <c r="V23" s="594"/>
      <c r="W23" s="594"/>
      <c r="X23" s="594"/>
      <c r="Y23" s="595"/>
    </row>
    <row r="24" spans="1:25" ht="9.9499999999999993" customHeight="1" x14ac:dyDescent="0.25">
      <c r="A24" s="549">
        <f t="shared" ref="A24" si="2">1+A21</f>
        <v>6</v>
      </c>
      <c r="B24" s="548"/>
      <c r="C24" s="188"/>
      <c r="D24" s="188"/>
      <c r="E24" s="188"/>
      <c r="F24" s="188"/>
      <c r="G24" s="189"/>
      <c r="H24" s="590"/>
      <c r="I24" s="591"/>
      <c r="J24" s="591"/>
      <c r="K24" s="591"/>
      <c r="L24" s="591"/>
      <c r="M24" s="591"/>
      <c r="N24" s="591"/>
      <c r="O24" s="591"/>
      <c r="P24" s="591"/>
      <c r="Q24" s="591"/>
      <c r="R24" s="591"/>
      <c r="S24" s="591"/>
      <c r="T24" s="591"/>
      <c r="U24" s="591"/>
      <c r="V24" s="591"/>
      <c r="W24" s="591"/>
      <c r="X24" s="591"/>
      <c r="Y24" s="592"/>
    </row>
    <row r="25" spans="1:25" s="27" customFormat="1" ht="20.100000000000001" customHeight="1" x14ac:dyDescent="0.25">
      <c r="A25" s="550"/>
      <c r="B25" s="548"/>
      <c r="C25" s="585" t="s">
        <v>165</v>
      </c>
      <c r="D25" s="586"/>
      <c r="E25" s="195"/>
      <c r="F25" s="195"/>
      <c r="G25" s="191"/>
      <c r="H25" s="597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  <c r="U25" s="598"/>
      <c r="V25" s="598"/>
      <c r="W25" s="598"/>
      <c r="X25" s="598"/>
      <c r="Y25" s="599"/>
    </row>
    <row r="26" spans="1:25" ht="9.9499999999999993" customHeight="1" x14ac:dyDescent="0.25">
      <c r="A26" s="551"/>
      <c r="B26" s="548"/>
      <c r="C26" s="183"/>
      <c r="D26" s="183"/>
      <c r="E26" s="183"/>
      <c r="F26" s="183"/>
      <c r="G26" s="190"/>
      <c r="H26" s="593"/>
      <c r="I26" s="594"/>
      <c r="J26" s="594"/>
      <c r="K26" s="594"/>
      <c r="L26" s="594"/>
      <c r="M26" s="594"/>
      <c r="N26" s="594"/>
      <c r="O26" s="594"/>
      <c r="P26" s="594"/>
      <c r="Q26" s="594"/>
      <c r="R26" s="594"/>
      <c r="S26" s="594"/>
      <c r="T26" s="594"/>
      <c r="U26" s="594"/>
      <c r="V26" s="594"/>
      <c r="W26" s="594"/>
      <c r="X26" s="594"/>
      <c r="Y26" s="595"/>
    </row>
    <row r="27" spans="1:25" ht="9.9499999999999993" customHeight="1" x14ac:dyDescent="0.25">
      <c r="A27" s="549">
        <f t="shared" ref="A27" si="3">1+A24</f>
        <v>7</v>
      </c>
      <c r="B27" s="548"/>
      <c r="C27" s="188"/>
      <c r="D27" s="188"/>
      <c r="E27" s="188"/>
      <c r="F27" s="188"/>
      <c r="G27" s="189"/>
      <c r="H27" s="590"/>
      <c r="I27" s="591"/>
      <c r="J27" s="591"/>
      <c r="K27" s="591"/>
      <c r="L27" s="591"/>
      <c r="M27" s="591"/>
      <c r="N27" s="591"/>
      <c r="O27" s="591"/>
      <c r="P27" s="591"/>
      <c r="Q27" s="591"/>
      <c r="R27" s="591"/>
      <c r="S27" s="591"/>
      <c r="T27" s="591"/>
      <c r="U27" s="591"/>
      <c r="V27" s="591"/>
      <c r="W27" s="591"/>
      <c r="X27" s="591"/>
      <c r="Y27" s="592"/>
    </row>
    <row r="28" spans="1:25" s="27" customFormat="1" ht="20.100000000000001" customHeight="1" x14ac:dyDescent="0.25">
      <c r="A28" s="550"/>
      <c r="B28" s="548"/>
      <c r="C28" s="585" t="s">
        <v>165</v>
      </c>
      <c r="D28" s="586"/>
      <c r="E28" s="195"/>
      <c r="F28" s="195"/>
      <c r="G28" s="191"/>
      <c r="H28" s="597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  <c r="U28" s="598"/>
      <c r="V28" s="598"/>
      <c r="W28" s="598"/>
      <c r="X28" s="598"/>
      <c r="Y28" s="599"/>
    </row>
    <row r="29" spans="1:25" ht="9.9499999999999993" customHeight="1" x14ac:dyDescent="0.25">
      <c r="A29" s="551"/>
      <c r="B29" s="548"/>
      <c r="C29" s="183"/>
      <c r="D29" s="183"/>
      <c r="E29" s="183"/>
      <c r="F29" s="183"/>
      <c r="G29" s="190"/>
      <c r="H29" s="593"/>
      <c r="I29" s="594"/>
      <c r="J29" s="594"/>
      <c r="K29" s="594"/>
      <c r="L29" s="594"/>
      <c r="M29" s="594"/>
      <c r="N29" s="594"/>
      <c r="O29" s="594"/>
      <c r="P29" s="594"/>
      <c r="Q29" s="594"/>
      <c r="R29" s="594"/>
      <c r="S29" s="594"/>
      <c r="T29" s="594"/>
      <c r="U29" s="594"/>
      <c r="V29" s="594"/>
      <c r="W29" s="594"/>
      <c r="X29" s="594"/>
      <c r="Y29" s="595"/>
    </row>
    <row r="30" spans="1:25" ht="9.9499999999999993" customHeight="1" x14ac:dyDescent="0.25">
      <c r="A30" s="549">
        <f t="shared" ref="A30" si="4">1+A27</f>
        <v>8</v>
      </c>
      <c r="B30" s="548"/>
      <c r="C30" s="188"/>
      <c r="D30" s="188"/>
      <c r="E30" s="188"/>
      <c r="F30" s="188"/>
      <c r="G30" s="189"/>
      <c r="H30" s="590"/>
      <c r="I30" s="591"/>
      <c r="J30" s="591"/>
      <c r="K30" s="591"/>
      <c r="L30" s="591"/>
      <c r="M30" s="591"/>
      <c r="N30" s="591"/>
      <c r="O30" s="591"/>
      <c r="P30" s="591"/>
      <c r="Q30" s="591"/>
      <c r="R30" s="591"/>
      <c r="S30" s="591"/>
      <c r="T30" s="591"/>
      <c r="U30" s="591"/>
      <c r="V30" s="591"/>
      <c r="W30" s="591"/>
      <c r="X30" s="591"/>
      <c r="Y30" s="592"/>
    </row>
    <row r="31" spans="1:25" s="27" customFormat="1" ht="20.100000000000001" customHeight="1" x14ac:dyDescent="0.25">
      <c r="A31" s="550"/>
      <c r="B31" s="548"/>
      <c r="C31" s="585" t="s">
        <v>165</v>
      </c>
      <c r="D31" s="586"/>
      <c r="E31" s="195"/>
      <c r="F31" s="195"/>
      <c r="G31" s="191"/>
      <c r="H31" s="597"/>
      <c r="I31" s="598"/>
      <c r="J31" s="598"/>
      <c r="K31" s="598"/>
      <c r="L31" s="598"/>
      <c r="M31" s="598"/>
      <c r="N31" s="598"/>
      <c r="O31" s="598"/>
      <c r="P31" s="598"/>
      <c r="Q31" s="598"/>
      <c r="R31" s="598"/>
      <c r="S31" s="598"/>
      <c r="T31" s="598"/>
      <c r="U31" s="598"/>
      <c r="V31" s="598"/>
      <c r="W31" s="598"/>
      <c r="X31" s="598"/>
      <c r="Y31" s="599"/>
    </row>
    <row r="32" spans="1:25" ht="9.9499999999999993" customHeight="1" x14ac:dyDescent="0.25">
      <c r="A32" s="551"/>
      <c r="B32" s="548"/>
      <c r="C32" s="183"/>
      <c r="D32" s="183"/>
      <c r="E32" s="183"/>
      <c r="F32" s="183"/>
      <c r="G32" s="190"/>
      <c r="H32" s="593"/>
      <c r="I32" s="594"/>
      <c r="J32" s="594"/>
      <c r="K32" s="594"/>
      <c r="L32" s="594"/>
      <c r="M32" s="594"/>
      <c r="N32" s="594"/>
      <c r="O32" s="594"/>
      <c r="P32" s="594"/>
      <c r="Q32" s="594"/>
      <c r="R32" s="594"/>
      <c r="S32" s="594"/>
      <c r="T32" s="594"/>
      <c r="U32" s="594"/>
      <c r="V32" s="594"/>
      <c r="W32" s="594"/>
      <c r="X32" s="594"/>
      <c r="Y32" s="595"/>
    </row>
    <row r="33" spans="1:25" ht="9.9499999999999993" customHeight="1" x14ac:dyDescent="0.25">
      <c r="A33" s="549">
        <f t="shared" ref="A33" si="5">1+A30</f>
        <v>9</v>
      </c>
      <c r="B33" s="548"/>
      <c r="C33" s="188"/>
      <c r="D33" s="188"/>
      <c r="E33" s="188"/>
      <c r="F33" s="188"/>
      <c r="G33" s="189"/>
      <c r="H33" s="590"/>
      <c r="I33" s="591"/>
      <c r="J33" s="591"/>
      <c r="K33" s="591"/>
      <c r="L33" s="591"/>
      <c r="M33" s="591"/>
      <c r="N33" s="591"/>
      <c r="O33" s="591"/>
      <c r="P33" s="591"/>
      <c r="Q33" s="591"/>
      <c r="R33" s="591"/>
      <c r="S33" s="591"/>
      <c r="T33" s="591"/>
      <c r="U33" s="591"/>
      <c r="V33" s="591"/>
      <c r="W33" s="591"/>
      <c r="X33" s="591"/>
      <c r="Y33" s="592"/>
    </row>
    <row r="34" spans="1:25" s="27" customFormat="1" ht="20.100000000000001" customHeight="1" x14ac:dyDescent="0.25">
      <c r="A34" s="550"/>
      <c r="B34" s="548"/>
      <c r="C34" s="585" t="s">
        <v>165</v>
      </c>
      <c r="D34" s="586"/>
      <c r="E34" s="195"/>
      <c r="F34" s="195"/>
      <c r="G34" s="191"/>
      <c r="H34" s="597"/>
      <c r="I34" s="598"/>
      <c r="J34" s="598"/>
      <c r="K34" s="598"/>
      <c r="L34" s="598"/>
      <c r="M34" s="598"/>
      <c r="N34" s="598"/>
      <c r="O34" s="598"/>
      <c r="P34" s="598"/>
      <c r="Q34" s="598"/>
      <c r="R34" s="598"/>
      <c r="S34" s="598"/>
      <c r="T34" s="598"/>
      <c r="U34" s="598"/>
      <c r="V34" s="598"/>
      <c r="W34" s="598"/>
      <c r="X34" s="598"/>
      <c r="Y34" s="599"/>
    </row>
    <row r="35" spans="1:25" ht="9.75" customHeight="1" x14ac:dyDescent="0.25">
      <c r="A35" s="551"/>
      <c r="B35" s="548"/>
      <c r="C35" s="183"/>
      <c r="D35" s="183"/>
      <c r="E35" s="183"/>
      <c r="F35" s="183"/>
      <c r="G35" s="190"/>
      <c r="H35" s="593"/>
      <c r="I35" s="594"/>
      <c r="J35" s="594"/>
      <c r="K35" s="594"/>
      <c r="L35" s="594"/>
      <c r="M35" s="594"/>
      <c r="N35" s="594"/>
      <c r="O35" s="594"/>
      <c r="P35" s="594"/>
      <c r="Q35" s="594"/>
      <c r="R35" s="594"/>
      <c r="S35" s="594"/>
      <c r="T35" s="594"/>
      <c r="U35" s="594"/>
      <c r="V35" s="594"/>
      <c r="W35" s="594"/>
      <c r="X35" s="594"/>
      <c r="Y35" s="595"/>
    </row>
    <row r="36" spans="1:25" ht="9.9499999999999993" customHeight="1" x14ac:dyDescent="0.25">
      <c r="A36" s="549">
        <f t="shared" ref="A36" si="6">1+A33</f>
        <v>10</v>
      </c>
      <c r="B36" s="548"/>
      <c r="C36" s="188"/>
      <c r="D36" s="188"/>
      <c r="E36" s="188"/>
      <c r="F36" s="188"/>
      <c r="G36" s="189"/>
      <c r="H36" s="590"/>
      <c r="I36" s="591"/>
      <c r="J36" s="591"/>
      <c r="K36" s="591"/>
      <c r="L36" s="591"/>
      <c r="M36" s="591"/>
      <c r="N36" s="591"/>
      <c r="O36" s="591"/>
      <c r="P36" s="591"/>
      <c r="Q36" s="591"/>
      <c r="R36" s="591"/>
      <c r="S36" s="591"/>
      <c r="T36" s="591"/>
      <c r="U36" s="591"/>
      <c r="V36" s="591"/>
      <c r="W36" s="591"/>
      <c r="X36" s="591"/>
      <c r="Y36" s="592"/>
    </row>
    <row r="37" spans="1:25" s="27" customFormat="1" ht="20.100000000000001" customHeight="1" x14ac:dyDescent="0.25">
      <c r="A37" s="550"/>
      <c r="B37" s="548"/>
      <c r="C37" s="585" t="s">
        <v>165</v>
      </c>
      <c r="D37" s="586"/>
      <c r="E37" s="195"/>
      <c r="F37" s="195"/>
      <c r="G37" s="191"/>
      <c r="H37" s="597"/>
      <c r="I37" s="598"/>
      <c r="J37" s="598"/>
      <c r="K37" s="598"/>
      <c r="L37" s="598"/>
      <c r="M37" s="598"/>
      <c r="N37" s="598"/>
      <c r="O37" s="598"/>
      <c r="P37" s="598"/>
      <c r="Q37" s="598"/>
      <c r="R37" s="598"/>
      <c r="S37" s="598"/>
      <c r="T37" s="598"/>
      <c r="U37" s="598"/>
      <c r="V37" s="598"/>
      <c r="W37" s="598"/>
      <c r="X37" s="598"/>
      <c r="Y37" s="599"/>
    </row>
    <row r="38" spans="1:25" ht="9.9499999999999993" customHeight="1" x14ac:dyDescent="0.25">
      <c r="A38" s="551"/>
      <c r="B38" s="548"/>
      <c r="C38" s="183"/>
      <c r="D38" s="183"/>
      <c r="E38" s="183"/>
      <c r="F38" s="183"/>
      <c r="G38" s="190"/>
      <c r="H38" s="593"/>
      <c r="I38" s="594"/>
      <c r="J38" s="594"/>
      <c r="K38" s="594"/>
      <c r="L38" s="594"/>
      <c r="M38" s="594"/>
      <c r="N38" s="594"/>
      <c r="O38" s="594"/>
      <c r="P38" s="594"/>
      <c r="Q38" s="594"/>
      <c r="R38" s="594"/>
      <c r="S38" s="594"/>
      <c r="T38" s="594"/>
      <c r="U38" s="594"/>
      <c r="V38" s="594"/>
      <c r="W38" s="594"/>
      <c r="X38" s="594"/>
      <c r="Y38" s="595"/>
    </row>
    <row r="39" spans="1:25" ht="9.9499999999999993" customHeight="1" x14ac:dyDescent="0.25">
      <c r="A39" s="549">
        <f t="shared" ref="A39:A66" si="7">1+A36</f>
        <v>11</v>
      </c>
      <c r="B39" s="548"/>
      <c r="C39" s="188"/>
      <c r="D39" s="188"/>
      <c r="E39" s="188"/>
      <c r="F39" s="188"/>
      <c r="G39" s="189"/>
      <c r="H39" s="590"/>
      <c r="I39" s="591"/>
      <c r="J39" s="591"/>
      <c r="K39" s="591"/>
      <c r="L39" s="591"/>
      <c r="M39" s="591"/>
      <c r="N39" s="591"/>
      <c r="O39" s="591"/>
      <c r="P39" s="591"/>
      <c r="Q39" s="591"/>
      <c r="R39" s="591"/>
      <c r="S39" s="591"/>
      <c r="T39" s="591"/>
      <c r="U39" s="591"/>
      <c r="V39" s="591"/>
      <c r="W39" s="591"/>
      <c r="X39" s="591"/>
      <c r="Y39" s="592"/>
    </row>
    <row r="40" spans="1:25" s="27" customFormat="1" ht="20.100000000000001" customHeight="1" x14ac:dyDescent="0.25">
      <c r="A40" s="550"/>
      <c r="B40" s="548"/>
      <c r="C40" s="585" t="s">
        <v>165</v>
      </c>
      <c r="D40" s="586"/>
      <c r="E40" s="195"/>
      <c r="F40" s="195"/>
      <c r="G40" s="191"/>
      <c r="H40" s="597"/>
      <c r="I40" s="598"/>
      <c r="J40" s="598"/>
      <c r="K40" s="598"/>
      <c r="L40" s="598"/>
      <c r="M40" s="598"/>
      <c r="N40" s="598"/>
      <c r="O40" s="598"/>
      <c r="P40" s="598"/>
      <c r="Q40" s="598"/>
      <c r="R40" s="598"/>
      <c r="S40" s="598"/>
      <c r="T40" s="598"/>
      <c r="U40" s="598"/>
      <c r="V40" s="598"/>
      <c r="W40" s="598"/>
      <c r="X40" s="598"/>
      <c r="Y40" s="599"/>
    </row>
    <row r="41" spans="1:25" ht="9.9499999999999993" customHeight="1" x14ac:dyDescent="0.25">
      <c r="A41" s="551"/>
      <c r="B41" s="548"/>
      <c r="C41" s="183"/>
      <c r="D41" s="183"/>
      <c r="E41" s="183"/>
      <c r="F41" s="183"/>
      <c r="G41" s="190"/>
      <c r="H41" s="593"/>
      <c r="I41" s="594"/>
      <c r="J41" s="594"/>
      <c r="K41" s="594"/>
      <c r="L41" s="594"/>
      <c r="M41" s="594"/>
      <c r="N41" s="594"/>
      <c r="O41" s="594"/>
      <c r="P41" s="594"/>
      <c r="Q41" s="594"/>
      <c r="R41" s="594"/>
      <c r="S41" s="594"/>
      <c r="T41" s="594"/>
      <c r="U41" s="594"/>
      <c r="V41" s="594"/>
      <c r="W41" s="594"/>
      <c r="X41" s="594"/>
      <c r="Y41" s="595"/>
    </row>
    <row r="42" spans="1:25" ht="9.9499999999999993" customHeight="1" x14ac:dyDescent="0.25">
      <c r="A42" s="549">
        <f t="shared" si="7"/>
        <v>12</v>
      </c>
      <c r="B42" s="548"/>
      <c r="C42" s="188"/>
      <c r="D42" s="188"/>
      <c r="E42" s="188"/>
      <c r="F42" s="188"/>
      <c r="G42" s="189"/>
      <c r="H42" s="590"/>
      <c r="I42" s="591"/>
      <c r="J42" s="591"/>
      <c r="K42" s="591"/>
      <c r="L42" s="591"/>
      <c r="M42" s="591"/>
      <c r="N42" s="591"/>
      <c r="O42" s="591"/>
      <c r="P42" s="591"/>
      <c r="Q42" s="591"/>
      <c r="R42" s="591"/>
      <c r="S42" s="591"/>
      <c r="T42" s="591"/>
      <c r="U42" s="591"/>
      <c r="V42" s="591"/>
      <c r="W42" s="591"/>
      <c r="X42" s="591"/>
      <c r="Y42" s="592"/>
    </row>
    <row r="43" spans="1:25" s="27" customFormat="1" ht="20.100000000000001" customHeight="1" x14ac:dyDescent="0.25">
      <c r="A43" s="550"/>
      <c r="B43" s="548"/>
      <c r="C43" s="585" t="s">
        <v>165</v>
      </c>
      <c r="D43" s="586"/>
      <c r="E43" s="195"/>
      <c r="F43" s="195"/>
      <c r="G43" s="191"/>
      <c r="H43" s="597"/>
      <c r="I43" s="598"/>
      <c r="J43" s="598"/>
      <c r="K43" s="598"/>
      <c r="L43" s="598"/>
      <c r="M43" s="598"/>
      <c r="N43" s="598"/>
      <c r="O43" s="598"/>
      <c r="P43" s="598"/>
      <c r="Q43" s="598"/>
      <c r="R43" s="598"/>
      <c r="S43" s="598"/>
      <c r="T43" s="598"/>
      <c r="U43" s="598"/>
      <c r="V43" s="598"/>
      <c r="W43" s="598"/>
      <c r="X43" s="598"/>
      <c r="Y43" s="599"/>
    </row>
    <row r="44" spans="1:25" ht="9.9499999999999993" customHeight="1" x14ac:dyDescent="0.25">
      <c r="A44" s="551"/>
      <c r="B44" s="548"/>
      <c r="C44" s="183"/>
      <c r="D44" s="183"/>
      <c r="E44" s="183"/>
      <c r="F44" s="183"/>
      <c r="G44" s="190"/>
      <c r="H44" s="593"/>
      <c r="I44" s="594"/>
      <c r="J44" s="594"/>
      <c r="K44" s="594"/>
      <c r="L44" s="594"/>
      <c r="M44" s="594"/>
      <c r="N44" s="594"/>
      <c r="O44" s="594"/>
      <c r="P44" s="594"/>
      <c r="Q44" s="594"/>
      <c r="R44" s="594"/>
      <c r="S44" s="594"/>
      <c r="T44" s="594"/>
      <c r="U44" s="594"/>
      <c r="V44" s="594"/>
      <c r="W44" s="594"/>
      <c r="X44" s="594"/>
      <c r="Y44" s="595"/>
    </row>
    <row r="45" spans="1:25" ht="9.9499999999999993" customHeight="1" x14ac:dyDescent="0.25">
      <c r="A45" s="549">
        <f t="shared" si="7"/>
        <v>13</v>
      </c>
      <c r="B45" s="548"/>
      <c r="C45" s="188"/>
      <c r="D45" s="188"/>
      <c r="E45" s="188"/>
      <c r="F45" s="188"/>
      <c r="G45" s="189"/>
      <c r="H45" s="590"/>
      <c r="I45" s="591"/>
      <c r="J45" s="591"/>
      <c r="K45" s="591"/>
      <c r="L45" s="591"/>
      <c r="M45" s="591"/>
      <c r="N45" s="591"/>
      <c r="O45" s="591"/>
      <c r="P45" s="591"/>
      <c r="Q45" s="591"/>
      <c r="R45" s="591"/>
      <c r="S45" s="591"/>
      <c r="T45" s="591"/>
      <c r="U45" s="591"/>
      <c r="V45" s="591"/>
      <c r="W45" s="591"/>
      <c r="X45" s="591"/>
      <c r="Y45" s="592"/>
    </row>
    <row r="46" spans="1:25" s="27" customFormat="1" ht="20.100000000000001" customHeight="1" x14ac:dyDescent="0.25">
      <c r="A46" s="550"/>
      <c r="B46" s="548"/>
      <c r="C46" s="585" t="s">
        <v>165</v>
      </c>
      <c r="D46" s="586"/>
      <c r="E46" s="195"/>
      <c r="F46" s="195"/>
      <c r="G46" s="191"/>
      <c r="H46" s="597"/>
      <c r="I46" s="598"/>
      <c r="J46" s="598"/>
      <c r="K46" s="598"/>
      <c r="L46" s="598"/>
      <c r="M46" s="598"/>
      <c r="N46" s="598"/>
      <c r="O46" s="598"/>
      <c r="P46" s="598"/>
      <c r="Q46" s="598"/>
      <c r="R46" s="598"/>
      <c r="S46" s="598"/>
      <c r="T46" s="598"/>
      <c r="U46" s="598"/>
      <c r="V46" s="598"/>
      <c r="W46" s="598"/>
      <c r="X46" s="598"/>
      <c r="Y46" s="599"/>
    </row>
    <row r="47" spans="1:25" ht="9.9499999999999993" customHeight="1" x14ac:dyDescent="0.25">
      <c r="A47" s="551"/>
      <c r="B47" s="548"/>
      <c r="C47" s="183"/>
      <c r="D47" s="183"/>
      <c r="E47" s="183"/>
      <c r="F47" s="183"/>
      <c r="G47" s="190"/>
      <c r="H47" s="593"/>
      <c r="I47" s="594"/>
      <c r="J47" s="594"/>
      <c r="K47" s="594"/>
      <c r="L47" s="594"/>
      <c r="M47" s="594"/>
      <c r="N47" s="594"/>
      <c r="O47" s="594"/>
      <c r="P47" s="594"/>
      <c r="Q47" s="594"/>
      <c r="R47" s="594"/>
      <c r="S47" s="594"/>
      <c r="T47" s="594"/>
      <c r="U47" s="594"/>
      <c r="V47" s="594"/>
      <c r="W47" s="594"/>
      <c r="X47" s="594"/>
      <c r="Y47" s="595"/>
    </row>
    <row r="48" spans="1:25" ht="9.9499999999999993" customHeight="1" x14ac:dyDescent="0.25">
      <c r="A48" s="549">
        <f t="shared" si="7"/>
        <v>14</v>
      </c>
      <c r="B48" s="548"/>
      <c r="C48" s="188"/>
      <c r="D48" s="188"/>
      <c r="E48" s="188"/>
      <c r="F48" s="188"/>
      <c r="G48" s="189"/>
      <c r="H48" s="590"/>
      <c r="I48" s="591"/>
      <c r="J48" s="591"/>
      <c r="K48" s="591"/>
      <c r="L48" s="591"/>
      <c r="M48" s="591"/>
      <c r="N48" s="591"/>
      <c r="O48" s="591"/>
      <c r="P48" s="591"/>
      <c r="Q48" s="591"/>
      <c r="R48" s="591"/>
      <c r="S48" s="591"/>
      <c r="T48" s="591"/>
      <c r="U48" s="591"/>
      <c r="V48" s="591"/>
      <c r="W48" s="591"/>
      <c r="X48" s="591"/>
      <c r="Y48" s="592"/>
    </row>
    <row r="49" spans="1:25" s="27" customFormat="1" ht="20.100000000000001" customHeight="1" x14ac:dyDescent="0.25">
      <c r="A49" s="550"/>
      <c r="B49" s="548"/>
      <c r="C49" s="585" t="s">
        <v>165</v>
      </c>
      <c r="D49" s="586"/>
      <c r="E49" s="195"/>
      <c r="F49" s="195"/>
      <c r="G49" s="191"/>
      <c r="H49" s="597"/>
      <c r="I49" s="598"/>
      <c r="J49" s="598"/>
      <c r="K49" s="598"/>
      <c r="L49" s="598"/>
      <c r="M49" s="598"/>
      <c r="N49" s="598"/>
      <c r="O49" s="598"/>
      <c r="P49" s="598"/>
      <c r="Q49" s="598"/>
      <c r="R49" s="598"/>
      <c r="S49" s="598"/>
      <c r="T49" s="598"/>
      <c r="U49" s="598"/>
      <c r="V49" s="598"/>
      <c r="W49" s="598"/>
      <c r="X49" s="598"/>
      <c r="Y49" s="599"/>
    </row>
    <row r="50" spans="1:25" ht="9.9499999999999993" customHeight="1" x14ac:dyDescent="0.25">
      <c r="A50" s="551"/>
      <c r="B50" s="548"/>
      <c r="C50" s="183"/>
      <c r="D50" s="183"/>
      <c r="E50" s="183"/>
      <c r="F50" s="183"/>
      <c r="G50" s="190"/>
      <c r="H50" s="593"/>
      <c r="I50" s="594"/>
      <c r="J50" s="594"/>
      <c r="K50" s="594"/>
      <c r="L50" s="594"/>
      <c r="M50" s="594"/>
      <c r="N50" s="594"/>
      <c r="O50" s="594"/>
      <c r="P50" s="594"/>
      <c r="Q50" s="594"/>
      <c r="R50" s="594"/>
      <c r="S50" s="594"/>
      <c r="T50" s="594"/>
      <c r="U50" s="594"/>
      <c r="V50" s="594"/>
      <c r="W50" s="594"/>
      <c r="X50" s="594"/>
      <c r="Y50" s="595"/>
    </row>
    <row r="51" spans="1:25" ht="9.9499999999999993" customHeight="1" x14ac:dyDescent="0.25">
      <c r="A51" s="549">
        <f t="shared" si="7"/>
        <v>15</v>
      </c>
      <c r="B51" s="548"/>
      <c r="C51" s="188"/>
      <c r="D51" s="188"/>
      <c r="E51" s="188"/>
      <c r="F51" s="188"/>
      <c r="G51" s="189"/>
      <c r="H51" s="590"/>
      <c r="I51" s="591"/>
      <c r="J51" s="591"/>
      <c r="K51" s="591"/>
      <c r="L51" s="591"/>
      <c r="M51" s="591"/>
      <c r="N51" s="591"/>
      <c r="O51" s="591"/>
      <c r="P51" s="591"/>
      <c r="Q51" s="591"/>
      <c r="R51" s="591"/>
      <c r="S51" s="591"/>
      <c r="T51" s="591"/>
      <c r="U51" s="591"/>
      <c r="V51" s="591"/>
      <c r="W51" s="591"/>
      <c r="X51" s="591"/>
      <c r="Y51" s="592"/>
    </row>
    <row r="52" spans="1:25" s="27" customFormat="1" ht="20.100000000000001" customHeight="1" x14ac:dyDescent="0.25">
      <c r="A52" s="550"/>
      <c r="B52" s="548"/>
      <c r="C52" s="585" t="s">
        <v>165</v>
      </c>
      <c r="D52" s="586"/>
      <c r="E52" s="195"/>
      <c r="F52" s="195"/>
      <c r="G52" s="191"/>
      <c r="H52" s="597"/>
      <c r="I52" s="598"/>
      <c r="J52" s="598"/>
      <c r="K52" s="598"/>
      <c r="L52" s="598"/>
      <c r="M52" s="598"/>
      <c r="N52" s="598"/>
      <c r="O52" s="598"/>
      <c r="P52" s="598"/>
      <c r="Q52" s="598"/>
      <c r="R52" s="598"/>
      <c r="S52" s="598"/>
      <c r="T52" s="598"/>
      <c r="U52" s="598"/>
      <c r="V52" s="598"/>
      <c r="W52" s="598"/>
      <c r="X52" s="598"/>
      <c r="Y52" s="599"/>
    </row>
    <row r="53" spans="1:25" ht="9.9499999999999993" customHeight="1" x14ac:dyDescent="0.25">
      <c r="A53" s="551"/>
      <c r="B53" s="548"/>
      <c r="C53" s="183"/>
      <c r="D53" s="183"/>
      <c r="E53" s="183"/>
      <c r="F53" s="183"/>
      <c r="G53" s="190"/>
      <c r="H53" s="593"/>
      <c r="I53" s="594"/>
      <c r="J53" s="594"/>
      <c r="K53" s="594"/>
      <c r="L53" s="594"/>
      <c r="M53" s="594"/>
      <c r="N53" s="594"/>
      <c r="O53" s="594"/>
      <c r="P53" s="594"/>
      <c r="Q53" s="594"/>
      <c r="R53" s="594"/>
      <c r="S53" s="594"/>
      <c r="T53" s="594"/>
      <c r="U53" s="594"/>
      <c r="V53" s="594"/>
      <c r="W53" s="594"/>
      <c r="X53" s="594"/>
      <c r="Y53" s="595"/>
    </row>
    <row r="54" spans="1:25" ht="9.9499999999999993" customHeight="1" x14ac:dyDescent="0.25">
      <c r="A54" s="549">
        <f t="shared" si="7"/>
        <v>16</v>
      </c>
      <c r="B54" s="548"/>
      <c r="C54" s="188"/>
      <c r="D54" s="188"/>
      <c r="E54" s="188"/>
      <c r="F54" s="188"/>
      <c r="G54" s="189"/>
      <c r="H54" s="590"/>
      <c r="I54" s="591"/>
      <c r="J54" s="591"/>
      <c r="K54" s="591"/>
      <c r="L54" s="591"/>
      <c r="M54" s="591"/>
      <c r="N54" s="591"/>
      <c r="O54" s="591"/>
      <c r="P54" s="591"/>
      <c r="Q54" s="591"/>
      <c r="R54" s="591"/>
      <c r="S54" s="591"/>
      <c r="T54" s="591"/>
      <c r="U54" s="591"/>
      <c r="V54" s="591"/>
      <c r="W54" s="591"/>
      <c r="X54" s="591"/>
      <c r="Y54" s="592"/>
    </row>
    <row r="55" spans="1:25" s="27" customFormat="1" ht="20.100000000000001" customHeight="1" x14ac:dyDescent="0.25">
      <c r="A55" s="550"/>
      <c r="B55" s="548"/>
      <c r="C55" s="585" t="s">
        <v>165</v>
      </c>
      <c r="D55" s="586"/>
      <c r="E55" s="195"/>
      <c r="F55" s="195"/>
      <c r="G55" s="191"/>
      <c r="H55" s="597"/>
      <c r="I55" s="598"/>
      <c r="J55" s="598"/>
      <c r="K55" s="598"/>
      <c r="L55" s="598"/>
      <c r="M55" s="598"/>
      <c r="N55" s="598"/>
      <c r="O55" s="598"/>
      <c r="P55" s="598"/>
      <c r="Q55" s="598"/>
      <c r="R55" s="598"/>
      <c r="S55" s="598"/>
      <c r="T55" s="598"/>
      <c r="U55" s="598"/>
      <c r="V55" s="598"/>
      <c r="W55" s="598"/>
      <c r="X55" s="598"/>
      <c r="Y55" s="599"/>
    </row>
    <row r="56" spans="1:25" ht="9.9499999999999993" customHeight="1" x14ac:dyDescent="0.25">
      <c r="A56" s="551"/>
      <c r="B56" s="548"/>
      <c r="C56" s="183"/>
      <c r="D56" s="183"/>
      <c r="E56" s="183"/>
      <c r="F56" s="183"/>
      <c r="G56" s="190"/>
      <c r="H56" s="593"/>
      <c r="I56" s="594"/>
      <c r="J56" s="594"/>
      <c r="K56" s="594"/>
      <c r="L56" s="594"/>
      <c r="M56" s="594"/>
      <c r="N56" s="594"/>
      <c r="O56" s="594"/>
      <c r="P56" s="594"/>
      <c r="Q56" s="594"/>
      <c r="R56" s="594"/>
      <c r="S56" s="594"/>
      <c r="T56" s="594"/>
      <c r="U56" s="594"/>
      <c r="V56" s="594"/>
      <c r="W56" s="594"/>
      <c r="X56" s="594"/>
      <c r="Y56" s="595"/>
    </row>
    <row r="57" spans="1:25" ht="9.9499999999999993" customHeight="1" x14ac:dyDescent="0.25">
      <c r="A57" s="549">
        <f t="shared" si="7"/>
        <v>17</v>
      </c>
      <c r="B57" s="548"/>
      <c r="C57" s="188"/>
      <c r="D57" s="188"/>
      <c r="E57" s="188"/>
      <c r="F57" s="188"/>
      <c r="G57" s="189"/>
      <c r="H57" s="590"/>
      <c r="I57" s="591"/>
      <c r="J57" s="591"/>
      <c r="K57" s="591"/>
      <c r="L57" s="591"/>
      <c r="M57" s="591"/>
      <c r="N57" s="591"/>
      <c r="O57" s="591"/>
      <c r="P57" s="591"/>
      <c r="Q57" s="591"/>
      <c r="R57" s="591"/>
      <c r="S57" s="591"/>
      <c r="T57" s="591"/>
      <c r="U57" s="591"/>
      <c r="V57" s="591"/>
      <c r="W57" s="591"/>
      <c r="X57" s="591"/>
      <c r="Y57" s="592"/>
    </row>
    <row r="58" spans="1:25" s="27" customFormat="1" ht="20.100000000000001" customHeight="1" x14ac:dyDescent="0.25">
      <c r="A58" s="550"/>
      <c r="B58" s="548"/>
      <c r="C58" s="585" t="s">
        <v>165</v>
      </c>
      <c r="D58" s="586"/>
      <c r="E58" s="195"/>
      <c r="F58" s="195"/>
      <c r="G58" s="191"/>
      <c r="H58" s="597"/>
      <c r="I58" s="598"/>
      <c r="J58" s="598"/>
      <c r="K58" s="598"/>
      <c r="L58" s="598"/>
      <c r="M58" s="598"/>
      <c r="N58" s="598"/>
      <c r="O58" s="598"/>
      <c r="P58" s="598"/>
      <c r="Q58" s="598"/>
      <c r="R58" s="598"/>
      <c r="S58" s="598"/>
      <c r="T58" s="598"/>
      <c r="U58" s="598"/>
      <c r="V58" s="598"/>
      <c r="W58" s="598"/>
      <c r="X58" s="598"/>
      <c r="Y58" s="599"/>
    </row>
    <row r="59" spans="1:25" ht="9.9499999999999993" customHeight="1" x14ac:dyDescent="0.25">
      <c r="A59" s="551"/>
      <c r="B59" s="548"/>
      <c r="C59" s="183"/>
      <c r="D59" s="183"/>
      <c r="E59" s="183"/>
      <c r="F59" s="183"/>
      <c r="G59" s="190"/>
      <c r="H59" s="593"/>
      <c r="I59" s="594"/>
      <c r="J59" s="594"/>
      <c r="K59" s="594"/>
      <c r="L59" s="594"/>
      <c r="M59" s="594"/>
      <c r="N59" s="594"/>
      <c r="O59" s="594"/>
      <c r="P59" s="594"/>
      <c r="Q59" s="594"/>
      <c r="R59" s="594"/>
      <c r="S59" s="594"/>
      <c r="T59" s="594"/>
      <c r="U59" s="594"/>
      <c r="V59" s="594"/>
      <c r="W59" s="594"/>
      <c r="X59" s="594"/>
      <c r="Y59" s="595"/>
    </row>
    <row r="60" spans="1:25" ht="9.9499999999999993" customHeight="1" x14ac:dyDescent="0.25">
      <c r="A60" s="549">
        <f t="shared" si="7"/>
        <v>18</v>
      </c>
      <c r="B60" s="548"/>
      <c r="C60" s="188"/>
      <c r="D60" s="188"/>
      <c r="E60" s="188"/>
      <c r="F60" s="188"/>
      <c r="G60" s="189"/>
      <c r="H60" s="590"/>
      <c r="I60" s="591"/>
      <c r="J60" s="591"/>
      <c r="K60" s="591"/>
      <c r="L60" s="591"/>
      <c r="M60" s="591"/>
      <c r="N60" s="591"/>
      <c r="O60" s="591"/>
      <c r="P60" s="591"/>
      <c r="Q60" s="591"/>
      <c r="R60" s="591"/>
      <c r="S60" s="591"/>
      <c r="T60" s="591"/>
      <c r="U60" s="591"/>
      <c r="V60" s="591"/>
      <c r="W60" s="591"/>
      <c r="X60" s="591"/>
      <c r="Y60" s="592"/>
    </row>
    <row r="61" spans="1:25" s="27" customFormat="1" ht="20.100000000000001" customHeight="1" x14ac:dyDescent="0.25">
      <c r="A61" s="550"/>
      <c r="B61" s="548"/>
      <c r="C61" s="585" t="s">
        <v>165</v>
      </c>
      <c r="D61" s="586"/>
      <c r="E61" s="195"/>
      <c r="F61" s="195"/>
      <c r="G61" s="191"/>
      <c r="H61" s="597"/>
      <c r="I61" s="598"/>
      <c r="J61" s="598"/>
      <c r="K61" s="598"/>
      <c r="L61" s="598"/>
      <c r="M61" s="598"/>
      <c r="N61" s="598"/>
      <c r="O61" s="598"/>
      <c r="P61" s="598"/>
      <c r="Q61" s="598"/>
      <c r="R61" s="598"/>
      <c r="S61" s="598"/>
      <c r="T61" s="598"/>
      <c r="U61" s="598"/>
      <c r="V61" s="598"/>
      <c r="W61" s="598"/>
      <c r="X61" s="598"/>
      <c r="Y61" s="599"/>
    </row>
    <row r="62" spans="1:25" ht="9.9499999999999993" customHeight="1" x14ac:dyDescent="0.25">
      <c r="A62" s="551"/>
      <c r="B62" s="548"/>
      <c r="C62" s="183"/>
      <c r="D62" s="183"/>
      <c r="E62" s="183"/>
      <c r="F62" s="183"/>
      <c r="G62" s="190"/>
      <c r="H62" s="593"/>
      <c r="I62" s="594"/>
      <c r="J62" s="594"/>
      <c r="K62" s="594"/>
      <c r="L62" s="594"/>
      <c r="M62" s="594"/>
      <c r="N62" s="594"/>
      <c r="O62" s="594"/>
      <c r="P62" s="594"/>
      <c r="Q62" s="594"/>
      <c r="R62" s="594"/>
      <c r="S62" s="594"/>
      <c r="T62" s="594"/>
      <c r="U62" s="594"/>
      <c r="V62" s="594"/>
      <c r="W62" s="594"/>
      <c r="X62" s="594"/>
      <c r="Y62" s="595"/>
    </row>
    <row r="63" spans="1:25" ht="9.9499999999999993" customHeight="1" x14ac:dyDescent="0.25">
      <c r="A63" s="549">
        <f t="shared" si="7"/>
        <v>19</v>
      </c>
      <c r="B63" s="548"/>
      <c r="C63" s="188"/>
      <c r="D63" s="188"/>
      <c r="E63" s="188"/>
      <c r="F63" s="188"/>
      <c r="G63" s="189"/>
      <c r="H63" s="590"/>
      <c r="I63" s="591"/>
      <c r="J63" s="591"/>
      <c r="K63" s="591"/>
      <c r="L63" s="591"/>
      <c r="M63" s="591"/>
      <c r="N63" s="591"/>
      <c r="O63" s="591"/>
      <c r="P63" s="591"/>
      <c r="Q63" s="591"/>
      <c r="R63" s="591"/>
      <c r="S63" s="591"/>
      <c r="T63" s="591"/>
      <c r="U63" s="591"/>
      <c r="V63" s="591"/>
      <c r="W63" s="591"/>
      <c r="X63" s="591"/>
      <c r="Y63" s="592"/>
    </row>
    <row r="64" spans="1:25" s="27" customFormat="1" ht="20.100000000000001" customHeight="1" x14ac:dyDescent="0.25">
      <c r="A64" s="550"/>
      <c r="B64" s="548"/>
      <c r="C64" s="585" t="s">
        <v>165</v>
      </c>
      <c r="D64" s="586"/>
      <c r="E64" s="195"/>
      <c r="F64" s="195"/>
      <c r="G64" s="191"/>
      <c r="H64" s="597"/>
      <c r="I64" s="598"/>
      <c r="J64" s="598"/>
      <c r="K64" s="598"/>
      <c r="L64" s="598"/>
      <c r="M64" s="598"/>
      <c r="N64" s="598"/>
      <c r="O64" s="598"/>
      <c r="P64" s="598"/>
      <c r="Q64" s="598"/>
      <c r="R64" s="598"/>
      <c r="S64" s="598"/>
      <c r="T64" s="598"/>
      <c r="U64" s="598"/>
      <c r="V64" s="598"/>
      <c r="W64" s="598"/>
      <c r="X64" s="598"/>
      <c r="Y64" s="599"/>
    </row>
    <row r="65" spans="1:25" ht="9.9499999999999993" customHeight="1" x14ac:dyDescent="0.25">
      <c r="A65" s="551"/>
      <c r="B65" s="548"/>
      <c r="C65" s="183"/>
      <c r="D65" s="183"/>
      <c r="E65" s="183"/>
      <c r="F65" s="183"/>
      <c r="G65" s="190"/>
      <c r="H65" s="593"/>
      <c r="I65" s="594"/>
      <c r="J65" s="594"/>
      <c r="K65" s="594"/>
      <c r="L65" s="594"/>
      <c r="M65" s="594"/>
      <c r="N65" s="594"/>
      <c r="O65" s="594"/>
      <c r="P65" s="594"/>
      <c r="Q65" s="594"/>
      <c r="R65" s="594"/>
      <c r="S65" s="594"/>
      <c r="T65" s="594"/>
      <c r="U65" s="594"/>
      <c r="V65" s="594"/>
      <c r="W65" s="594"/>
      <c r="X65" s="594"/>
      <c r="Y65" s="595"/>
    </row>
    <row r="66" spans="1:25" ht="9.9499999999999993" customHeight="1" x14ac:dyDescent="0.25">
      <c r="A66" s="549">
        <f t="shared" si="7"/>
        <v>20</v>
      </c>
      <c r="B66" s="548"/>
      <c r="C66" s="188"/>
      <c r="D66" s="188"/>
      <c r="E66" s="188"/>
      <c r="F66" s="188"/>
      <c r="G66" s="189"/>
      <c r="H66" s="590"/>
      <c r="I66" s="591"/>
      <c r="J66" s="591"/>
      <c r="K66" s="591"/>
      <c r="L66" s="591"/>
      <c r="M66" s="591"/>
      <c r="N66" s="591"/>
      <c r="O66" s="591"/>
      <c r="P66" s="591"/>
      <c r="Q66" s="591"/>
      <c r="R66" s="591"/>
      <c r="S66" s="591"/>
      <c r="T66" s="591"/>
      <c r="U66" s="591"/>
      <c r="V66" s="591"/>
      <c r="W66" s="591"/>
      <c r="X66" s="591"/>
      <c r="Y66" s="592"/>
    </row>
    <row r="67" spans="1:25" s="27" customFormat="1" ht="20.100000000000001" customHeight="1" x14ac:dyDescent="0.25">
      <c r="A67" s="550"/>
      <c r="B67" s="548"/>
      <c r="C67" s="585" t="s">
        <v>165</v>
      </c>
      <c r="D67" s="586"/>
      <c r="E67" s="195"/>
      <c r="F67" s="195"/>
      <c r="G67" s="191"/>
      <c r="H67" s="597"/>
      <c r="I67" s="598"/>
      <c r="J67" s="598"/>
      <c r="K67" s="598"/>
      <c r="L67" s="598"/>
      <c r="M67" s="598"/>
      <c r="N67" s="598"/>
      <c r="O67" s="598"/>
      <c r="P67" s="598"/>
      <c r="Q67" s="598"/>
      <c r="R67" s="598"/>
      <c r="S67" s="598"/>
      <c r="T67" s="598"/>
      <c r="U67" s="598"/>
      <c r="V67" s="598"/>
      <c r="W67" s="598"/>
      <c r="X67" s="598"/>
      <c r="Y67" s="599"/>
    </row>
    <row r="68" spans="1:25" ht="9.9499999999999993" customHeight="1" x14ac:dyDescent="0.25">
      <c r="A68" s="551"/>
      <c r="B68" s="548"/>
      <c r="C68" s="183"/>
      <c r="D68" s="183"/>
      <c r="E68" s="183"/>
      <c r="F68" s="183"/>
      <c r="G68" s="190"/>
      <c r="H68" s="593"/>
      <c r="I68" s="594"/>
      <c r="J68" s="594"/>
      <c r="K68" s="594"/>
      <c r="L68" s="594"/>
      <c r="M68" s="594"/>
      <c r="N68" s="594"/>
      <c r="O68" s="594"/>
      <c r="P68" s="594"/>
      <c r="Q68" s="594"/>
      <c r="R68" s="594"/>
      <c r="S68" s="594"/>
      <c r="T68" s="594"/>
      <c r="U68" s="594"/>
      <c r="V68" s="594"/>
      <c r="W68" s="594"/>
      <c r="X68" s="594"/>
      <c r="Y68" s="595"/>
    </row>
    <row r="69" spans="1:25" ht="9.9499999999999993" customHeight="1" x14ac:dyDescent="0.25">
      <c r="A69" s="549">
        <f t="shared" ref="A69:A96" si="8">1+A66</f>
        <v>21</v>
      </c>
      <c r="B69" s="548"/>
      <c r="C69" s="188"/>
      <c r="D69" s="188"/>
      <c r="E69" s="188"/>
      <c r="F69" s="188"/>
      <c r="G69" s="189"/>
      <c r="H69" s="590"/>
      <c r="I69" s="591"/>
      <c r="J69" s="591"/>
      <c r="K69" s="591"/>
      <c r="L69" s="591"/>
      <c r="M69" s="591"/>
      <c r="N69" s="591"/>
      <c r="O69" s="591"/>
      <c r="P69" s="591"/>
      <c r="Q69" s="591"/>
      <c r="R69" s="591"/>
      <c r="S69" s="591"/>
      <c r="T69" s="591"/>
      <c r="U69" s="591"/>
      <c r="V69" s="591"/>
      <c r="W69" s="591"/>
      <c r="X69" s="591"/>
      <c r="Y69" s="592"/>
    </row>
    <row r="70" spans="1:25" s="27" customFormat="1" ht="20.100000000000001" customHeight="1" x14ac:dyDescent="0.25">
      <c r="A70" s="550"/>
      <c r="B70" s="548"/>
      <c r="C70" s="585" t="s">
        <v>165</v>
      </c>
      <c r="D70" s="586"/>
      <c r="E70" s="195"/>
      <c r="F70" s="195"/>
      <c r="G70" s="191"/>
      <c r="H70" s="597"/>
      <c r="I70" s="598"/>
      <c r="J70" s="598"/>
      <c r="K70" s="598"/>
      <c r="L70" s="598"/>
      <c r="M70" s="598"/>
      <c r="N70" s="598"/>
      <c r="O70" s="598"/>
      <c r="P70" s="598"/>
      <c r="Q70" s="598"/>
      <c r="R70" s="598"/>
      <c r="S70" s="598"/>
      <c r="T70" s="598"/>
      <c r="U70" s="598"/>
      <c r="V70" s="598"/>
      <c r="W70" s="598"/>
      <c r="X70" s="598"/>
      <c r="Y70" s="599"/>
    </row>
    <row r="71" spans="1:25" ht="9.9499999999999993" customHeight="1" x14ac:dyDescent="0.25">
      <c r="A71" s="551"/>
      <c r="B71" s="548"/>
      <c r="C71" s="183"/>
      <c r="D71" s="183"/>
      <c r="E71" s="183"/>
      <c r="F71" s="183"/>
      <c r="G71" s="190"/>
      <c r="H71" s="593"/>
      <c r="I71" s="594"/>
      <c r="J71" s="594"/>
      <c r="K71" s="594"/>
      <c r="L71" s="594"/>
      <c r="M71" s="594"/>
      <c r="N71" s="594"/>
      <c r="O71" s="594"/>
      <c r="P71" s="594"/>
      <c r="Q71" s="594"/>
      <c r="R71" s="594"/>
      <c r="S71" s="594"/>
      <c r="T71" s="594"/>
      <c r="U71" s="594"/>
      <c r="V71" s="594"/>
      <c r="W71" s="594"/>
      <c r="X71" s="594"/>
      <c r="Y71" s="595"/>
    </row>
    <row r="72" spans="1:25" ht="9.9499999999999993" customHeight="1" x14ac:dyDescent="0.25">
      <c r="A72" s="549">
        <f t="shared" si="8"/>
        <v>22</v>
      </c>
      <c r="B72" s="548"/>
      <c r="C72" s="188"/>
      <c r="D72" s="188"/>
      <c r="E72" s="188"/>
      <c r="F72" s="188"/>
      <c r="G72" s="189"/>
      <c r="H72" s="590"/>
      <c r="I72" s="591"/>
      <c r="J72" s="591"/>
      <c r="K72" s="591"/>
      <c r="L72" s="591"/>
      <c r="M72" s="591"/>
      <c r="N72" s="591"/>
      <c r="O72" s="591"/>
      <c r="P72" s="591"/>
      <c r="Q72" s="591"/>
      <c r="R72" s="591"/>
      <c r="S72" s="591"/>
      <c r="T72" s="591"/>
      <c r="U72" s="591"/>
      <c r="V72" s="591"/>
      <c r="W72" s="591"/>
      <c r="X72" s="591"/>
      <c r="Y72" s="592"/>
    </row>
    <row r="73" spans="1:25" s="27" customFormat="1" ht="20.100000000000001" customHeight="1" x14ac:dyDescent="0.25">
      <c r="A73" s="550"/>
      <c r="B73" s="548"/>
      <c r="C73" s="585" t="s">
        <v>165</v>
      </c>
      <c r="D73" s="586"/>
      <c r="E73" s="195"/>
      <c r="F73" s="195"/>
      <c r="G73" s="191"/>
      <c r="H73" s="597"/>
      <c r="I73" s="598"/>
      <c r="J73" s="598"/>
      <c r="K73" s="598"/>
      <c r="L73" s="598"/>
      <c r="M73" s="598"/>
      <c r="N73" s="598"/>
      <c r="O73" s="598"/>
      <c r="P73" s="598"/>
      <c r="Q73" s="598"/>
      <c r="R73" s="598"/>
      <c r="S73" s="598"/>
      <c r="T73" s="598"/>
      <c r="U73" s="598"/>
      <c r="V73" s="598"/>
      <c r="W73" s="598"/>
      <c r="X73" s="598"/>
      <c r="Y73" s="599"/>
    </row>
    <row r="74" spans="1:25" ht="9.9499999999999993" customHeight="1" x14ac:dyDescent="0.25">
      <c r="A74" s="551"/>
      <c r="B74" s="548"/>
      <c r="C74" s="183"/>
      <c r="D74" s="183"/>
      <c r="E74" s="183"/>
      <c r="F74" s="183"/>
      <c r="G74" s="190"/>
      <c r="H74" s="593"/>
      <c r="I74" s="594"/>
      <c r="J74" s="594"/>
      <c r="K74" s="594"/>
      <c r="L74" s="594"/>
      <c r="M74" s="594"/>
      <c r="N74" s="594"/>
      <c r="O74" s="594"/>
      <c r="P74" s="594"/>
      <c r="Q74" s="594"/>
      <c r="R74" s="594"/>
      <c r="S74" s="594"/>
      <c r="T74" s="594"/>
      <c r="U74" s="594"/>
      <c r="V74" s="594"/>
      <c r="W74" s="594"/>
      <c r="X74" s="594"/>
      <c r="Y74" s="595"/>
    </row>
    <row r="75" spans="1:25" ht="9.9499999999999993" customHeight="1" x14ac:dyDescent="0.25">
      <c r="A75" s="549">
        <f t="shared" si="8"/>
        <v>23</v>
      </c>
      <c r="B75" s="548"/>
      <c r="C75" s="188"/>
      <c r="D75" s="188"/>
      <c r="E75" s="188"/>
      <c r="F75" s="188"/>
      <c r="G75" s="189"/>
      <c r="H75" s="590"/>
      <c r="I75" s="591"/>
      <c r="J75" s="591"/>
      <c r="K75" s="591"/>
      <c r="L75" s="591"/>
      <c r="M75" s="591"/>
      <c r="N75" s="591"/>
      <c r="O75" s="591"/>
      <c r="P75" s="591"/>
      <c r="Q75" s="591"/>
      <c r="R75" s="591"/>
      <c r="S75" s="591"/>
      <c r="T75" s="591"/>
      <c r="U75" s="591"/>
      <c r="V75" s="591"/>
      <c r="W75" s="591"/>
      <c r="X75" s="591"/>
      <c r="Y75" s="592"/>
    </row>
    <row r="76" spans="1:25" s="27" customFormat="1" ht="20.100000000000001" customHeight="1" x14ac:dyDescent="0.25">
      <c r="A76" s="550"/>
      <c r="B76" s="548"/>
      <c r="C76" s="585" t="s">
        <v>165</v>
      </c>
      <c r="D76" s="586"/>
      <c r="E76" s="195"/>
      <c r="F76" s="195"/>
      <c r="G76" s="191"/>
      <c r="H76" s="597"/>
      <c r="I76" s="598"/>
      <c r="J76" s="598"/>
      <c r="K76" s="598"/>
      <c r="L76" s="598"/>
      <c r="M76" s="598"/>
      <c r="N76" s="598"/>
      <c r="O76" s="598"/>
      <c r="P76" s="598"/>
      <c r="Q76" s="598"/>
      <c r="R76" s="598"/>
      <c r="S76" s="598"/>
      <c r="T76" s="598"/>
      <c r="U76" s="598"/>
      <c r="V76" s="598"/>
      <c r="W76" s="598"/>
      <c r="X76" s="598"/>
      <c r="Y76" s="599"/>
    </row>
    <row r="77" spans="1:25" ht="9.9499999999999993" customHeight="1" x14ac:dyDescent="0.25">
      <c r="A77" s="551"/>
      <c r="B77" s="548"/>
      <c r="C77" s="183"/>
      <c r="D77" s="183"/>
      <c r="E77" s="183"/>
      <c r="F77" s="183"/>
      <c r="G77" s="190"/>
      <c r="H77" s="593"/>
      <c r="I77" s="594"/>
      <c r="J77" s="594"/>
      <c r="K77" s="594"/>
      <c r="L77" s="594"/>
      <c r="M77" s="594"/>
      <c r="N77" s="594"/>
      <c r="O77" s="594"/>
      <c r="P77" s="594"/>
      <c r="Q77" s="594"/>
      <c r="R77" s="594"/>
      <c r="S77" s="594"/>
      <c r="T77" s="594"/>
      <c r="U77" s="594"/>
      <c r="V77" s="594"/>
      <c r="W77" s="594"/>
      <c r="X77" s="594"/>
      <c r="Y77" s="595"/>
    </row>
    <row r="78" spans="1:25" ht="9.9499999999999993" customHeight="1" x14ac:dyDescent="0.25">
      <c r="A78" s="549">
        <f t="shared" si="8"/>
        <v>24</v>
      </c>
      <c r="B78" s="548"/>
      <c r="C78" s="188"/>
      <c r="D78" s="188"/>
      <c r="E78" s="188"/>
      <c r="F78" s="188"/>
      <c r="G78" s="189"/>
      <c r="H78" s="590"/>
      <c r="I78" s="591"/>
      <c r="J78" s="591"/>
      <c r="K78" s="591"/>
      <c r="L78" s="591"/>
      <c r="M78" s="591"/>
      <c r="N78" s="591"/>
      <c r="O78" s="591"/>
      <c r="P78" s="591"/>
      <c r="Q78" s="591"/>
      <c r="R78" s="591"/>
      <c r="S78" s="591"/>
      <c r="T78" s="591"/>
      <c r="U78" s="591"/>
      <c r="V78" s="591"/>
      <c r="W78" s="591"/>
      <c r="X78" s="591"/>
      <c r="Y78" s="592"/>
    </row>
    <row r="79" spans="1:25" s="27" customFormat="1" ht="20.100000000000001" customHeight="1" x14ac:dyDescent="0.25">
      <c r="A79" s="550"/>
      <c r="B79" s="548"/>
      <c r="C79" s="585" t="s">
        <v>165</v>
      </c>
      <c r="D79" s="586"/>
      <c r="E79" s="195"/>
      <c r="F79" s="195"/>
      <c r="G79" s="191"/>
      <c r="H79" s="597"/>
      <c r="I79" s="598"/>
      <c r="J79" s="598"/>
      <c r="K79" s="598"/>
      <c r="L79" s="598"/>
      <c r="M79" s="598"/>
      <c r="N79" s="598"/>
      <c r="O79" s="598"/>
      <c r="P79" s="598"/>
      <c r="Q79" s="598"/>
      <c r="R79" s="598"/>
      <c r="S79" s="598"/>
      <c r="T79" s="598"/>
      <c r="U79" s="598"/>
      <c r="V79" s="598"/>
      <c r="W79" s="598"/>
      <c r="X79" s="598"/>
      <c r="Y79" s="599"/>
    </row>
    <row r="80" spans="1:25" ht="9.9499999999999993" customHeight="1" x14ac:dyDescent="0.25">
      <c r="A80" s="551"/>
      <c r="B80" s="548"/>
      <c r="C80" s="183"/>
      <c r="D80" s="183"/>
      <c r="E80" s="183"/>
      <c r="F80" s="183"/>
      <c r="G80" s="190"/>
      <c r="H80" s="593"/>
      <c r="I80" s="594"/>
      <c r="J80" s="594"/>
      <c r="K80" s="594"/>
      <c r="L80" s="594"/>
      <c r="M80" s="594"/>
      <c r="N80" s="594"/>
      <c r="O80" s="594"/>
      <c r="P80" s="594"/>
      <c r="Q80" s="594"/>
      <c r="R80" s="594"/>
      <c r="S80" s="594"/>
      <c r="T80" s="594"/>
      <c r="U80" s="594"/>
      <c r="V80" s="594"/>
      <c r="W80" s="594"/>
      <c r="X80" s="594"/>
      <c r="Y80" s="595"/>
    </row>
    <row r="81" spans="1:25" ht="9.9499999999999993" customHeight="1" x14ac:dyDescent="0.25">
      <c r="A81" s="549">
        <f t="shared" si="8"/>
        <v>25</v>
      </c>
      <c r="B81" s="548"/>
      <c r="C81" s="188"/>
      <c r="D81" s="188"/>
      <c r="E81" s="188"/>
      <c r="F81" s="188"/>
      <c r="G81" s="189"/>
      <c r="H81" s="590"/>
      <c r="I81" s="591"/>
      <c r="J81" s="591"/>
      <c r="K81" s="591"/>
      <c r="L81" s="591"/>
      <c r="M81" s="591"/>
      <c r="N81" s="591"/>
      <c r="O81" s="591"/>
      <c r="P81" s="591"/>
      <c r="Q81" s="591"/>
      <c r="R81" s="591"/>
      <c r="S81" s="591"/>
      <c r="T81" s="591"/>
      <c r="U81" s="591"/>
      <c r="V81" s="591"/>
      <c r="W81" s="591"/>
      <c r="X81" s="591"/>
      <c r="Y81" s="592"/>
    </row>
    <row r="82" spans="1:25" s="27" customFormat="1" ht="20.100000000000001" customHeight="1" x14ac:dyDescent="0.25">
      <c r="A82" s="550"/>
      <c r="B82" s="548"/>
      <c r="C82" s="585" t="s">
        <v>165</v>
      </c>
      <c r="D82" s="586"/>
      <c r="E82" s="195"/>
      <c r="F82" s="195"/>
      <c r="G82" s="191"/>
      <c r="H82" s="597"/>
      <c r="I82" s="598"/>
      <c r="J82" s="598"/>
      <c r="K82" s="598"/>
      <c r="L82" s="598"/>
      <c r="M82" s="598"/>
      <c r="N82" s="598"/>
      <c r="O82" s="598"/>
      <c r="P82" s="598"/>
      <c r="Q82" s="598"/>
      <c r="R82" s="598"/>
      <c r="S82" s="598"/>
      <c r="T82" s="598"/>
      <c r="U82" s="598"/>
      <c r="V82" s="598"/>
      <c r="W82" s="598"/>
      <c r="X82" s="598"/>
      <c r="Y82" s="599"/>
    </row>
    <row r="83" spans="1:25" ht="9.9499999999999993" customHeight="1" x14ac:dyDescent="0.25">
      <c r="A83" s="551"/>
      <c r="B83" s="548"/>
      <c r="C83" s="183"/>
      <c r="D83" s="183"/>
      <c r="E83" s="183"/>
      <c r="F83" s="183"/>
      <c r="G83" s="190"/>
      <c r="H83" s="593"/>
      <c r="I83" s="594"/>
      <c r="J83" s="594"/>
      <c r="K83" s="594"/>
      <c r="L83" s="594"/>
      <c r="M83" s="594"/>
      <c r="N83" s="594"/>
      <c r="O83" s="594"/>
      <c r="P83" s="594"/>
      <c r="Q83" s="594"/>
      <c r="R83" s="594"/>
      <c r="S83" s="594"/>
      <c r="T83" s="594"/>
      <c r="U83" s="594"/>
      <c r="V83" s="594"/>
      <c r="W83" s="594"/>
      <c r="X83" s="594"/>
      <c r="Y83" s="595"/>
    </row>
    <row r="84" spans="1:25" ht="9.9499999999999993" customHeight="1" x14ac:dyDescent="0.25">
      <c r="A84" s="549">
        <f t="shared" si="8"/>
        <v>26</v>
      </c>
      <c r="B84" s="548"/>
      <c r="C84" s="188"/>
      <c r="D84" s="188"/>
      <c r="E84" s="188"/>
      <c r="F84" s="188"/>
      <c r="G84" s="189"/>
      <c r="H84" s="590"/>
      <c r="I84" s="591"/>
      <c r="J84" s="591"/>
      <c r="K84" s="591"/>
      <c r="L84" s="591"/>
      <c r="M84" s="591"/>
      <c r="N84" s="591"/>
      <c r="O84" s="591"/>
      <c r="P84" s="591"/>
      <c r="Q84" s="591"/>
      <c r="R84" s="591"/>
      <c r="S84" s="591"/>
      <c r="T84" s="591"/>
      <c r="U84" s="591"/>
      <c r="V84" s="591"/>
      <c r="W84" s="591"/>
      <c r="X84" s="591"/>
      <c r="Y84" s="592"/>
    </row>
    <row r="85" spans="1:25" s="27" customFormat="1" ht="20.100000000000001" customHeight="1" x14ac:dyDescent="0.25">
      <c r="A85" s="550"/>
      <c r="B85" s="548"/>
      <c r="C85" s="585" t="s">
        <v>165</v>
      </c>
      <c r="D85" s="586"/>
      <c r="E85" s="195"/>
      <c r="F85" s="195"/>
      <c r="G85" s="191"/>
      <c r="H85" s="597"/>
      <c r="I85" s="598"/>
      <c r="J85" s="598"/>
      <c r="K85" s="598"/>
      <c r="L85" s="598"/>
      <c r="M85" s="598"/>
      <c r="N85" s="598"/>
      <c r="O85" s="598"/>
      <c r="P85" s="598"/>
      <c r="Q85" s="598"/>
      <c r="R85" s="598"/>
      <c r="S85" s="598"/>
      <c r="T85" s="598"/>
      <c r="U85" s="598"/>
      <c r="V85" s="598"/>
      <c r="W85" s="598"/>
      <c r="X85" s="598"/>
      <c r="Y85" s="599"/>
    </row>
    <row r="86" spans="1:25" ht="9.9499999999999993" customHeight="1" x14ac:dyDescent="0.25">
      <c r="A86" s="551"/>
      <c r="B86" s="548"/>
      <c r="C86" s="183"/>
      <c r="D86" s="183"/>
      <c r="E86" s="183"/>
      <c r="F86" s="183"/>
      <c r="G86" s="190"/>
      <c r="H86" s="593"/>
      <c r="I86" s="594"/>
      <c r="J86" s="594"/>
      <c r="K86" s="594"/>
      <c r="L86" s="594"/>
      <c r="M86" s="594"/>
      <c r="N86" s="594"/>
      <c r="O86" s="594"/>
      <c r="P86" s="594"/>
      <c r="Q86" s="594"/>
      <c r="R86" s="594"/>
      <c r="S86" s="594"/>
      <c r="T86" s="594"/>
      <c r="U86" s="594"/>
      <c r="V86" s="594"/>
      <c r="W86" s="594"/>
      <c r="X86" s="594"/>
      <c r="Y86" s="595"/>
    </row>
    <row r="87" spans="1:25" ht="9.9499999999999993" customHeight="1" x14ac:dyDescent="0.25">
      <c r="A87" s="549">
        <f t="shared" si="8"/>
        <v>27</v>
      </c>
      <c r="B87" s="548"/>
      <c r="C87" s="188"/>
      <c r="D87" s="188"/>
      <c r="E87" s="188"/>
      <c r="F87" s="188"/>
      <c r="G87" s="189"/>
      <c r="H87" s="590"/>
      <c r="I87" s="591"/>
      <c r="J87" s="591"/>
      <c r="K87" s="591"/>
      <c r="L87" s="591"/>
      <c r="M87" s="591"/>
      <c r="N87" s="591"/>
      <c r="O87" s="591"/>
      <c r="P87" s="591"/>
      <c r="Q87" s="591"/>
      <c r="R87" s="591"/>
      <c r="S87" s="591"/>
      <c r="T87" s="591"/>
      <c r="U87" s="591"/>
      <c r="V87" s="591"/>
      <c r="W87" s="591"/>
      <c r="X87" s="591"/>
      <c r="Y87" s="592"/>
    </row>
    <row r="88" spans="1:25" s="27" customFormat="1" ht="20.100000000000001" customHeight="1" x14ac:dyDescent="0.25">
      <c r="A88" s="550"/>
      <c r="B88" s="548"/>
      <c r="C88" s="585" t="s">
        <v>165</v>
      </c>
      <c r="D88" s="586"/>
      <c r="E88" s="195"/>
      <c r="F88" s="195"/>
      <c r="G88" s="191"/>
      <c r="H88" s="597"/>
      <c r="I88" s="598"/>
      <c r="J88" s="598"/>
      <c r="K88" s="598"/>
      <c r="L88" s="598"/>
      <c r="M88" s="598"/>
      <c r="N88" s="598"/>
      <c r="O88" s="598"/>
      <c r="P88" s="598"/>
      <c r="Q88" s="598"/>
      <c r="R88" s="598"/>
      <c r="S88" s="598"/>
      <c r="T88" s="598"/>
      <c r="U88" s="598"/>
      <c r="V88" s="598"/>
      <c r="W88" s="598"/>
      <c r="X88" s="598"/>
      <c r="Y88" s="599"/>
    </row>
    <row r="89" spans="1:25" ht="9.9499999999999993" customHeight="1" x14ac:dyDescent="0.25">
      <c r="A89" s="551"/>
      <c r="B89" s="548"/>
      <c r="C89" s="183"/>
      <c r="D89" s="183"/>
      <c r="E89" s="183"/>
      <c r="F89" s="183"/>
      <c r="G89" s="190"/>
      <c r="H89" s="593"/>
      <c r="I89" s="594"/>
      <c r="J89" s="594"/>
      <c r="K89" s="594"/>
      <c r="L89" s="594"/>
      <c r="M89" s="594"/>
      <c r="N89" s="594"/>
      <c r="O89" s="594"/>
      <c r="P89" s="594"/>
      <c r="Q89" s="594"/>
      <c r="R89" s="594"/>
      <c r="S89" s="594"/>
      <c r="T89" s="594"/>
      <c r="U89" s="594"/>
      <c r="V89" s="594"/>
      <c r="W89" s="594"/>
      <c r="X89" s="594"/>
      <c r="Y89" s="595"/>
    </row>
    <row r="90" spans="1:25" ht="9.9499999999999993" customHeight="1" x14ac:dyDescent="0.25">
      <c r="A90" s="549">
        <f t="shared" si="8"/>
        <v>28</v>
      </c>
      <c r="B90" s="548"/>
      <c r="C90" s="188"/>
      <c r="D90" s="188"/>
      <c r="E90" s="188"/>
      <c r="F90" s="188"/>
      <c r="G90" s="189"/>
      <c r="H90" s="590"/>
      <c r="I90" s="591"/>
      <c r="J90" s="591"/>
      <c r="K90" s="591"/>
      <c r="L90" s="591"/>
      <c r="M90" s="591"/>
      <c r="N90" s="591"/>
      <c r="O90" s="591"/>
      <c r="P90" s="591"/>
      <c r="Q90" s="591"/>
      <c r="R90" s="591"/>
      <c r="S90" s="591"/>
      <c r="T90" s="591"/>
      <c r="U90" s="591"/>
      <c r="V90" s="591"/>
      <c r="W90" s="591"/>
      <c r="X90" s="591"/>
      <c r="Y90" s="592"/>
    </row>
    <row r="91" spans="1:25" s="27" customFormat="1" ht="20.100000000000001" customHeight="1" x14ac:dyDescent="0.25">
      <c r="A91" s="550"/>
      <c r="B91" s="548"/>
      <c r="C91" s="585" t="s">
        <v>165</v>
      </c>
      <c r="D91" s="586"/>
      <c r="E91" s="195"/>
      <c r="F91" s="195"/>
      <c r="G91" s="191"/>
      <c r="H91" s="597"/>
      <c r="I91" s="598"/>
      <c r="J91" s="598"/>
      <c r="K91" s="598"/>
      <c r="L91" s="598"/>
      <c r="M91" s="598"/>
      <c r="N91" s="598"/>
      <c r="O91" s="598"/>
      <c r="P91" s="598"/>
      <c r="Q91" s="598"/>
      <c r="R91" s="598"/>
      <c r="S91" s="598"/>
      <c r="T91" s="598"/>
      <c r="U91" s="598"/>
      <c r="V91" s="598"/>
      <c r="W91" s="598"/>
      <c r="X91" s="598"/>
      <c r="Y91" s="599"/>
    </row>
    <row r="92" spans="1:25" ht="9.9499999999999993" customHeight="1" x14ac:dyDescent="0.25">
      <c r="A92" s="551"/>
      <c r="B92" s="548"/>
      <c r="C92" s="183"/>
      <c r="D92" s="183"/>
      <c r="E92" s="183"/>
      <c r="F92" s="183"/>
      <c r="G92" s="190"/>
      <c r="H92" s="593"/>
      <c r="I92" s="594"/>
      <c r="J92" s="594"/>
      <c r="K92" s="594"/>
      <c r="L92" s="594"/>
      <c r="M92" s="594"/>
      <c r="N92" s="594"/>
      <c r="O92" s="594"/>
      <c r="P92" s="594"/>
      <c r="Q92" s="594"/>
      <c r="R92" s="594"/>
      <c r="S92" s="594"/>
      <c r="T92" s="594"/>
      <c r="U92" s="594"/>
      <c r="V92" s="594"/>
      <c r="W92" s="594"/>
      <c r="X92" s="594"/>
      <c r="Y92" s="595"/>
    </row>
    <row r="93" spans="1:25" ht="9.9499999999999993" customHeight="1" x14ac:dyDescent="0.25">
      <c r="A93" s="549">
        <f t="shared" si="8"/>
        <v>29</v>
      </c>
      <c r="B93" s="548"/>
      <c r="C93" s="188"/>
      <c r="D93" s="188"/>
      <c r="E93" s="188"/>
      <c r="F93" s="188"/>
      <c r="G93" s="189"/>
      <c r="H93" s="590"/>
      <c r="I93" s="591"/>
      <c r="J93" s="591"/>
      <c r="K93" s="591"/>
      <c r="L93" s="591"/>
      <c r="M93" s="591"/>
      <c r="N93" s="591"/>
      <c r="O93" s="591"/>
      <c r="P93" s="591"/>
      <c r="Q93" s="591"/>
      <c r="R93" s="591"/>
      <c r="S93" s="591"/>
      <c r="T93" s="591"/>
      <c r="U93" s="591"/>
      <c r="V93" s="591"/>
      <c r="W93" s="591"/>
      <c r="X93" s="591"/>
      <c r="Y93" s="592"/>
    </row>
    <row r="94" spans="1:25" s="27" customFormat="1" ht="20.100000000000001" customHeight="1" x14ac:dyDescent="0.25">
      <c r="A94" s="550"/>
      <c r="B94" s="548"/>
      <c r="C94" s="585" t="s">
        <v>165</v>
      </c>
      <c r="D94" s="586"/>
      <c r="E94" s="195"/>
      <c r="F94" s="195"/>
      <c r="G94" s="191"/>
      <c r="H94" s="597"/>
      <c r="I94" s="598"/>
      <c r="J94" s="598"/>
      <c r="K94" s="598"/>
      <c r="L94" s="598"/>
      <c r="M94" s="598"/>
      <c r="N94" s="598"/>
      <c r="O94" s="598"/>
      <c r="P94" s="598"/>
      <c r="Q94" s="598"/>
      <c r="R94" s="598"/>
      <c r="S94" s="598"/>
      <c r="T94" s="598"/>
      <c r="U94" s="598"/>
      <c r="V94" s="598"/>
      <c r="W94" s="598"/>
      <c r="X94" s="598"/>
      <c r="Y94" s="599"/>
    </row>
    <row r="95" spans="1:25" ht="9.9499999999999993" customHeight="1" x14ac:dyDescent="0.25">
      <c r="A95" s="551"/>
      <c r="B95" s="548"/>
      <c r="C95" s="183"/>
      <c r="D95" s="183"/>
      <c r="E95" s="183"/>
      <c r="F95" s="183"/>
      <c r="G95" s="190"/>
      <c r="H95" s="593"/>
      <c r="I95" s="594"/>
      <c r="J95" s="594"/>
      <c r="K95" s="594"/>
      <c r="L95" s="594"/>
      <c r="M95" s="594"/>
      <c r="N95" s="594"/>
      <c r="O95" s="594"/>
      <c r="P95" s="594"/>
      <c r="Q95" s="594"/>
      <c r="R95" s="594"/>
      <c r="S95" s="594"/>
      <c r="T95" s="594"/>
      <c r="U95" s="594"/>
      <c r="V95" s="594"/>
      <c r="W95" s="594"/>
      <c r="X95" s="594"/>
      <c r="Y95" s="595"/>
    </row>
    <row r="96" spans="1:25" ht="9.9499999999999993" customHeight="1" x14ac:dyDescent="0.25">
      <c r="A96" s="549">
        <f t="shared" si="8"/>
        <v>30</v>
      </c>
      <c r="B96" s="548"/>
      <c r="C96" s="188"/>
      <c r="D96" s="188"/>
      <c r="E96" s="188"/>
      <c r="F96" s="188"/>
      <c r="G96" s="189"/>
      <c r="H96" s="590"/>
      <c r="I96" s="591"/>
      <c r="J96" s="591"/>
      <c r="K96" s="591"/>
      <c r="L96" s="591"/>
      <c r="M96" s="591"/>
      <c r="N96" s="591"/>
      <c r="O96" s="591"/>
      <c r="P96" s="591"/>
      <c r="Q96" s="591"/>
      <c r="R96" s="591"/>
      <c r="S96" s="591"/>
      <c r="T96" s="591"/>
      <c r="U96" s="591"/>
      <c r="V96" s="591"/>
      <c r="W96" s="591"/>
      <c r="X96" s="591"/>
      <c r="Y96" s="592"/>
    </row>
    <row r="97" spans="1:25" s="27" customFormat="1" ht="20.100000000000001" customHeight="1" x14ac:dyDescent="0.25">
      <c r="A97" s="550"/>
      <c r="B97" s="548"/>
      <c r="C97" s="585" t="s">
        <v>165</v>
      </c>
      <c r="D97" s="586"/>
      <c r="E97" s="195"/>
      <c r="F97" s="195"/>
      <c r="G97" s="191"/>
      <c r="H97" s="597"/>
      <c r="I97" s="598"/>
      <c r="J97" s="598"/>
      <c r="K97" s="598"/>
      <c r="L97" s="598"/>
      <c r="M97" s="598"/>
      <c r="N97" s="598"/>
      <c r="O97" s="598"/>
      <c r="P97" s="598"/>
      <c r="Q97" s="598"/>
      <c r="R97" s="598"/>
      <c r="S97" s="598"/>
      <c r="T97" s="598"/>
      <c r="U97" s="598"/>
      <c r="V97" s="598"/>
      <c r="W97" s="598"/>
      <c r="X97" s="598"/>
      <c r="Y97" s="599"/>
    </row>
    <row r="98" spans="1:25" ht="9.9499999999999993" customHeight="1" x14ac:dyDescent="0.25">
      <c r="A98" s="551"/>
      <c r="B98" s="548"/>
      <c r="C98" s="183"/>
      <c r="D98" s="183"/>
      <c r="E98" s="183"/>
      <c r="F98" s="183"/>
      <c r="G98" s="190"/>
      <c r="H98" s="593"/>
      <c r="I98" s="594"/>
      <c r="J98" s="594"/>
      <c r="K98" s="594"/>
      <c r="L98" s="594"/>
      <c r="M98" s="594"/>
      <c r="N98" s="594"/>
      <c r="O98" s="594"/>
      <c r="P98" s="594"/>
      <c r="Q98" s="594"/>
      <c r="R98" s="594"/>
      <c r="S98" s="594"/>
      <c r="T98" s="594"/>
      <c r="U98" s="594"/>
      <c r="V98" s="594"/>
      <c r="W98" s="594"/>
      <c r="X98" s="594"/>
      <c r="Y98" s="595"/>
    </row>
    <row r="99" spans="1:25" ht="9.9499999999999993" customHeight="1" x14ac:dyDescent="0.25">
      <c r="A99" s="549">
        <f t="shared" ref="A99:A126" si="9">1+A96</f>
        <v>31</v>
      </c>
      <c r="B99" s="548"/>
      <c r="C99" s="188"/>
      <c r="D99" s="188"/>
      <c r="E99" s="188"/>
      <c r="F99" s="188"/>
      <c r="G99" s="189"/>
      <c r="H99" s="590"/>
      <c r="I99" s="591"/>
      <c r="J99" s="591"/>
      <c r="K99" s="591"/>
      <c r="L99" s="591"/>
      <c r="M99" s="591"/>
      <c r="N99" s="591"/>
      <c r="O99" s="591"/>
      <c r="P99" s="591"/>
      <c r="Q99" s="591"/>
      <c r="R99" s="591"/>
      <c r="S99" s="591"/>
      <c r="T99" s="591"/>
      <c r="U99" s="591"/>
      <c r="V99" s="591"/>
      <c r="W99" s="591"/>
      <c r="X99" s="591"/>
      <c r="Y99" s="592"/>
    </row>
    <row r="100" spans="1:25" s="27" customFormat="1" ht="20.100000000000001" customHeight="1" x14ac:dyDescent="0.25">
      <c r="A100" s="550"/>
      <c r="B100" s="548"/>
      <c r="C100" s="585" t="s">
        <v>165</v>
      </c>
      <c r="D100" s="586"/>
      <c r="E100" s="195"/>
      <c r="F100" s="195"/>
      <c r="G100" s="191"/>
      <c r="H100" s="597"/>
      <c r="I100" s="598"/>
      <c r="J100" s="598"/>
      <c r="K100" s="598"/>
      <c r="L100" s="598"/>
      <c r="M100" s="598"/>
      <c r="N100" s="598"/>
      <c r="O100" s="598"/>
      <c r="P100" s="598"/>
      <c r="Q100" s="598"/>
      <c r="R100" s="598"/>
      <c r="S100" s="598"/>
      <c r="T100" s="598"/>
      <c r="U100" s="598"/>
      <c r="V100" s="598"/>
      <c r="W100" s="598"/>
      <c r="X100" s="598"/>
      <c r="Y100" s="599"/>
    </row>
    <row r="101" spans="1:25" ht="9.9499999999999993" customHeight="1" x14ac:dyDescent="0.25">
      <c r="A101" s="551"/>
      <c r="B101" s="548"/>
      <c r="C101" s="183"/>
      <c r="D101" s="183"/>
      <c r="E101" s="183"/>
      <c r="F101" s="183"/>
      <c r="G101" s="190"/>
      <c r="H101" s="593"/>
      <c r="I101" s="594"/>
      <c r="J101" s="594"/>
      <c r="K101" s="594"/>
      <c r="L101" s="594"/>
      <c r="M101" s="594"/>
      <c r="N101" s="594"/>
      <c r="O101" s="594"/>
      <c r="P101" s="594"/>
      <c r="Q101" s="594"/>
      <c r="R101" s="594"/>
      <c r="S101" s="594"/>
      <c r="T101" s="594"/>
      <c r="U101" s="594"/>
      <c r="V101" s="594"/>
      <c r="W101" s="594"/>
      <c r="X101" s="594"/>
      <c r="Y101" s="595"/>
    </row>
    <row r="102" spans="1:25" ht="9.9499999999999993" customHeight="1" x14ac:dyDescent="0.25">
      <c r="A102" s="549">
        <f t="shared" si="9"/>
        <v>32</v>
      </c>
      <c r="B102" s="548"/>
      <c r="C102" s="188"/>
      <c r="D102" s="188"/>
      <c r="E102" s="188"/>
      <c r="F102" s="188"/>
      <c r="G102" s="189"/>
      <c r="H102" s="590"/>
      <c r="I102" s="591"/>
      <c r="J102" s="591"/>
      <c r="K102" s="591"/>
      <c r="L102" s="591"/>
      <c r="M102" s="591"/>
      <c r="N102" s="591"/>
      <c r="O102" s="591"/>
      <c r="P102" s="591"/>
      <c r="Q102" s="591"/>
      <c r="R102" s="591"/>
      <c r="S102" s="591"/>
      <c r="T102" s="591"/>
      <c r="U102" s="591"/>
      <c r="V102" s="591"/>
      <c r="W102" s="591"/>
      <c r="X102" s="591"/>
      <c r="Y102" s="592"/>
    </row>
    <row r="103" spans="1:25" s="27" customFormat="1" ht="20.100000000000001" customHeight="1" x14ac:dyDescent="0.25">
      <c r="A103" s="550"/>
      <c r="B103" s="548"/>
      <c r="C103" s="585" t="s">
        <v>165</v>
      </c>
      <c r="D103" s="586"/>
      <c r="E103" s="195"/>
      <c r="F103" s="195"/>
      <c r="G103" s="191"/>
      <c r="H103" s="597"/>
      <c r="I103" s="598"/>
      <c r="J103" s="598"/>
      <c r="K103" s="598"/>
      <c r="L103" s="598"/>
      <c r="M103" s="598"/>
      <c r="N103" s="598"/>
      <c r="O103" s="598"/>
      <c r="P103" s="598"/>
      <c r="Q103" s="598"/>
      <c r="R103" s="598"/>
      <c r="S103" s="598"/>
      <c r="T103" s="598"/>
      <c r="U103" s="598"/>
      <c r="V103" s="598"/>
      <c r="W103" s="598"/>
      <c r="X103" s="598"/>
      <c r="Y103" s="599"/>
    </row>
    <row r="104" spans="1:25" ht="9.9499999999999993" customHeight="1" x14ac:dyDescent="0.25">
      <c r="A104" s="551"/>
      <c r="B104" s="548"/>
      <c r="C104" s="183"/>
      <c r="D104" s="183"/>
      <c r="E104" s="183"/>
      <c r="F104" s="183"/>
      <c r="G104" s="190"/>
      <c r="H104" s="593"/>
      <c r="I104" s="594"/>
      <c r="J104" s="594"/>
      <c r="K104" s="594"/>
      <c r="L104" s="594"/>
      <c r="M104" s="594"/>
      <c r="N104" s="594"/>
      <c r="O104" s="594"/>
      <c r="P104" s="594"/>
      <c r="Q104" s="594"/>
      <c r="R104" s="594"/>
      <c r="S104" s="594"/>
      <c r="T104" s="594"/>
      <c r="U104" s="594"/>
      <c r="V104" s="594"/>
      <c r="W104" s="594"/>
      <c r="X104" s="594"/>
      <c r="Y104" s="595"/>
    </row>
    <row r="105" spans="1:25" ht="9.9499999999999993" customHeight="1" x14ac:dyDescent="0.25">
      <c r="A105" s="549">
        <f t="shared" si="9"/>
        <v>33</v>
      </c>
      <c r="B105" s="548"/>
      <c r="C105" s="188"/>
      <c r="D105" s="188"/>
      <c r="E105" s="188"/>
      <c r="F105" s="188"/>
      <c r="G105" s="189"/>
      <c r="H105" s="590"/>
      <c r="I105" s="591"/>
      <c r="J105" s="591"/>
      <c r="K105" s="591"/>
      <c r="L105" s="591"/>
      <c r="M105" s="591"/>
      <c r="N105" s="591"/>
      <c r="O105" s="591"/>
      <c r="P105" s="591"/>
      <c r="Q105" s="591"/>
      <c r="R105" s="591"/>
      <c r="S105" s="591"/>
      <c r="T105" s="591"/>
      <c r="U105" s="591"/>
      <c r="V105" s="591"/>
      <c r="W105" s="591"/>
      <c r="X105" s="591"/>
      <c r="Y105" s="592"/>
    </row>
    <row r="106" spans="1:25" s="27" customFormat="1" ht="20.100000000000001" customHeight="1" x14ac:dyDescent="0.25">
      <c r="A106" s="550"/>
      <c r="B106" s="548"/>
      <c r="C106" s="585" t="s">
        <v>165</v>
      </c>
      <c r="D106" s="586"/>
      <c r="E106" s="195"/>
      <c r="F106" s="195"/>
      <c r="G106" s="191"/>
      <c r="H106" s="597"/>
      <c r="I106" s="598"/>
      <c r="J106" s="598"/>
      <c r="K106" s="598"/>
      <c r="L106" s="598"/>
      <c r="M106" s="598"/>
      <c r="N106" s="598"/>
      <c r="O106" s="598"/>
      <c r="P106" s="598"/>
      <c r="Q106" s="598"/>
      <c r="R106" s="598"/>
      <c r="S106" s="598"/>
      <c r="T106" s="598"/>
      <c r="U106" s="598"/>
      <c r="V106" s="598"/>
      <c r="W106" s="598"/>
      <c r="X106" s="598"/>
      <c r="Y106" s="599"/>
    </row>
    <row r="107" spans="1:25" ht="9.9499999999999993" customHeight="1" x14ac:dyDescent="0.25">
      <c r="A107" s="551"/>
      <c r="B107" s="548"/>
      <c r="C107" s="183"/>
      <c r="D107" s="183"/>
      <c r="E107" s="183"/>
      <c r="F107" s="183"/>
      <c r="G107" s="190"/>
      <c r="H107" s="593"/>
      <c r="I107" s="594"/>
      <c r="J107" s="594"/>
      <c r="K107" s="594"/>
      <c r="L107" s="594"/>
      <c r="M107" s="594"/>
      <c r="N107" s="594"/>
      <c r="O107" s="594"/>
      <c r="P107" s="594"/>
      <c r="Q107" s="594"/>
      <c r="R107" s="594"/>
      <c r="S107" s="594"/>
      <c r="T107" s="594"/>
      <c r="U107" s="594"/>
      <c r="V107" s="594"/>
      <c r="W107" s="594"/>
      <c r="X107" s="594"/>
      <c r="Y107" s="595"/>
    </row>
    <row r="108" spans="1:25" ht="9.9499999999999993" customHeight="1" x14ac:dyDescent="0.25">
      <c r="A108" s="549">
        <f t="shared" si="9"/>
        <v>34</v>
      </c>
      <c r="B108" s="548"/>
      <c r="C108" s="188"/>
      <c r="D108" s="188"/>
      <c r="E108" s="188"/>
      <c r="F108" s="188"/>
      <c r="G108" s="189"/>
      <c r="H108" s="590"/>
      <c r="I108" s="591"/>
      <c r="J108" s="591"/>
      <c r="K108" s="591"/>
      <c r="L108" s="591"/>
      <c r="M108" s="591"/>
      <c r="N108" s="591"/>
      <c r="O108" s="591"/>
      <c r="P108" s="591"/>
      <c r="Q108" s="591"/>
      <c r="R108" s="591"/>
      <c r="S108" s="591"/>
      <c r="T108" s="591"/>
      <c r="U108" s="591"/>
      <c r="V108" s="591"/>
      <c r="W108" s="591"/>
      <c r="X108" s="591"/>
      <c r="Y108" s="592"/>
    </row>
    <row r="109" spans="1:25" s="27" customFormat="1" ht="20.100000000000001" customHeight="1" x14ac:dyDescent="0.25">
      <c r="A109" s="550"/>
      <c r="B109" s="548"/>
      <c r="C109" s="585" t="s">
        <v>165</v>
      </c>
      <c r="D109" s="586"/>
      <c r="E109" s="195"/>
      <c r="F109" s="195"/>
      <c r="G109" s="191"/>
      <c r="H109" s="597"/>
      <c r="I109" s="598"/>
      <c r="J109" s="598"/>
      <c r="K109" s="598"/>
      <c r="L109" s="598"/>
      <c r="M109" s="598"/>
      <c r="N109" s="598"/>
      <c r="O109" s="598"/>
      <c r="P109" s="598"/>
      <c r="Q109" s="598"/>
      <c r="R109" s="598"/>
      <c r="S109" s="598"/>
      <c r="T109" s="598"/>
      <c r="U109" s="598"/>
      <c r="V109" s="598"/>
      <c r="W109" s="598"/>
      <c r="X109" s="598"/>
      <c r="Y109" s="599"/>
    </row>
    <row r="110" spans="1:25" ht="9.9499999999999993" customHeight="1" x14ac:dyDescent="0.25">
      <c r="A110" s="551"/>
      <c r="B110" s="548"/>
      <c r="C110" s="183"/>
      <c r="D110" s="183"/>
      <c r="E110" s="183"/>
      <c r="F110" s="183"/>
      <c r="G110" s="190"/>
      <c r="H110" s="593"/>
      <c r="I110" s="594"/>
      <c r="J110" s="594"/>
      <c r="K110" s="594"/>
      <c r="L110" s="594"/>
      <c r="M110" s="594"/>
      <c r="N110" s="594"/>
      <c r="O110" s="594"/>
      <c r="P110" s="594"/>
      <c r="Q110" s="594"/>
      <c r="R110" s="594"/>
      <c r="S110" s="594"/>
      <c r="T110" s="594"/>
      <c r="U110" s="594"/>
      <c r="V110" s="594"/>
      <c r="W110" s="594"/>
      <c r="X110" s="594"/>
      <c r="Y110" s="595"/>
    </row>
    <row r="111" spans="1:25" ht="9.9499999999999993" customHeight="1" x14ac:dyDescent="0.25">
      <c r="A111" s="549">
        <f t="shared" si="9"/>
        <v>35</v>
      </c>
      <c r="B111" s="548"/>
      <c r="C111" s="188"/>
      <c r="D111" s="188"/>
      <c r="E111" s="188"/>
      <c r="F111" s="188"/>
      <c r="G111" s="189"/>
      <c r="H111" s="590"/>
      <c r="I111" s="591"/>
      <c r="J111" s="591"/>
      <c r="K111" s="591"/>
      <c r="L111" s="591"/>
      <c r="M111" s="591"/>
      <c r="N111" s="591"/>
      <c r="O111" s="591"/>
      <c r="P111" s="591"/>
      <c r="Q111" s="591"/>
      <c r="R111" s="591"/>
      <c r="S111" s="591"/>
      <c r="T111" s="591"/>
      <c r="U111" s="591"/>
      <c r="V111" s="591"/>
      <c r="W111" s="591"/>
      <c r="X111" s="591"/>
      <c r="Y111" s="592"/>
    </row>
    <row r="112" spans="1:25" s="27" customFormat="1" ht="20.100000000000001" customHeight="1" x14ac:dyDescent="0.25">
      <c r="A112" s="550"/>
      <c r="B112" s="548"/>
      <c r="C112" s="585" t="s">
        <v>165</v>
      </c>
      <c r="D112" s="586"/>
      <c r="E112" s="195"/>
      <c r="F112" s="195"/>
      <c r="G112" s="191"/>
      <c r="H112" s="597"/>
      <c r="I112" s="598"/>
      <c r="J112" s="598"/>
      <c r="K112" s="598"/>
      <c r="L112" s="598"/>
      <c r="M112" s="598"/>
      <c r="N112" s="598"/>
      <c r="O112" s="598"/>
      <c r="P112" s="598"/>
      <c r="Q112" s="598"/>
      <c r="R112" s="598"/>
      <c r="S112" s="598"/>
      <c r="T112" s="598"/>
      <c r="U112" s="598"/>
      <c r="V112" s="598"/>
      <c r="W112" s="598"/>
      <c r="X112" s="598"/>
      <c r="Y112" s="599"/>
    </row>
    <row r="113" spans="1:25" ht="9.9499999999999993" customHeight="1" x14ac:dyDescent="0.25">
      <c r="A113" s="551"/>
      <c r="B113" s="548"/>
      <c r="C113" s="183"/>
      <c r="D113" s="183"/>
      <c r="E113" s="183"/>
      <c r="F113" s="183"/>
      <c r="G113" s="190"/>
      <c r="H113" s="593"/>
      <c r="I113" s="594"/>
      <c r="J113" s="594"/>
      <c r="K113" s="594"/>
      <c r="L113" s="594"/>
      <c r="M113" s="594"/>
      <c r="N113" s="594"/>
      <c r="O113" s="594"/>
      <c r="P113" s="594"/>
      <c r="Q113" s="594"/>
      <c r="R113" s="594"/>
      <c r="S113" s="594"/>
      <c r="T113" s="594"/>
      <c r="U113" s="594"/>
      <c r="V113" s="594"/>
      <c r="W113" s="594"/>
      <c r="X113" s="594"/>
      <c r="Y113" s="595"/>
    </row>
    <row r="114" spans="1:25" ht="9.9499999999999993" customHeight="1" x14ac:dyDescent="0.25">
      <c r="A114" s="549">
        <f t="shared" si="9"/>
        <v>36</v>
      </c>
      <c r="B114" s="548"/>
      <c r="C114" s="188"/>
      <c r="D114" s="188"/>
      <c r="E114" s="188"/>
      <c r="F114" s="188"/>
      <c r="G114" s="189"/>
      <c r="H114" s="590"/>
      <c r="I114" s="591"/>
      <c r="J114" s="591"/>
      <c r="K114" s="591"/>
      <c r="L114" s="591"/>
      <c r="M114" s="591"/>
      <c r="N114" s="591"/>
      <c r="O114" s="591"/>
      <c r="P114" s="591"/>
      <c r="Q114" s="591"/>
      <c r="R114" s="591"/>
      <c r="S114" s="591"/>
      <c r="T114" s="591"/>
      <c r="U114" s="591"/>
      <c r="V114" s="591"/>
      <c r="W114" s="591"/>
      <c r="X114" s="591"/>
      <c r="Y114" s="592"/>
    </row>
    <row r="115" spans="1:25" s="27" customFormat="1" ht="20.100000000000001" customHeight="1" x14ac:dyDescent="0.25">
      <c r="A115" s="550"/>
      <c r="B115" s="548"/>
      <c r="C115" s="585" t="s">
        <v>165</v>
      </c>
      <c r="D115" s="586"/>
      <c r="E115" s="195"/>
      <c r="F115" s="195"/>
      <c r="G115" s="191"/>
      <c r="H115" s="597"/>
      <c r="I115" s="598"/>
      <c r="J115" s="598"/>
      <c r="K115" s="598"/>
      <c r="L115" s="598"/>
      <c r="M115" s="598"/>
      <c r="N115" s="598"/>
      <c r="O115" s="598"/>
      <c r="P115" s="598"/>
      <c r="Q115" s="598"/>
      <c r="R115" s="598"/>
      <c r="S115" s="598"/>
      <c r="T115" s="598"/>
      <c r="U115" s="598"/>
      <c r="V115" s="598"/>
      <c r="W115" s="598"/>
      <c r="X115" s="598"/>
      <c r="Y115" s="599"/>
    </row>
    <row r="116" spans="1:25" ht="9.9499999999999993" customHeight="1" x14ac:dyDescent="0.25">
      <c r="A116" s="551"/>
      <c r="B116" s="548"/>
      <c r="C116" s="183"/>
      <c r="D116" s="183"/>
      <c r="E116" s="183"/>
      <c r="F116" s="183"/>
      <c r="G116" s="190"/>
      <c r="H116" s="593"/>
      <c r="I116" s="594"/>
      <c r="J116" s="594"/>
      <c r="K116" s="594"/>
      <c r="L116" s="594"/>
      <c r="M116" s="594"/>
      <c r="N116" s="594"/>
      <c r="O116" s="594"/>
      <c r="P116" s="594"/>
      <c r="Q116" s="594"/>
      <c r="R116" s="594"/>
      <c r="S116" s="594"/>
      <c r="T116" s="594"/>
      <c r="U116" s="594"/>
      <c r="V116" s="594"/>
      <c r="W116" s="594"/>
      <c r="X116" s="594"/>
      <c r="Y116" s="595"/>
    </row>
    <row r="117" spans="1:25" ht="9.9499999999999993" customHeight="1" x14ac:dyDescent="0.25">
      <c r="A117" s="549">
        <f t="shared" si="9"/>
        <v>37</v>
      </c>
      <c r="B117" s="548"/>
      <c r="C117" s="188"/>
      <c r="D117" s="188"/>
      <c r="E117" s="188"/>
      <c r="F117" s="188"/>
      <c r="G117" s="189"/>
      <c r="H117" s="590"/>
      <c r="I117" s="591"/>
      <c r="J117" s="591"/>
      <c r="K117" s="591"/>
      <c r="L117" s="591"/>
      <c r="M117" s="591"/>
      <c r="N117" s="591"/>
      <c r="O117" s="591"/>
      <c r="P117" s="591"/>
      <c r="Q117" s="591"/>
      <c r="R117" s="591"/>
      <c r="S117" s="591"/>
      <c r="T117" s="591"/>
      <c r="U117" s="591"/>
      <c r="V117" s="591"/>
      <c r="W117" s="591"/>
      <c r="X117" s="591"/>
      <c r="Y117" s="592"/>
    </row>
    <row r="118" spans="1:25" s="27" customFormat="1" ht="20.100000000000001" customHeight="1" x14ac:dyDescent="0.25">
      <c r="A118" s="550"/>
      <c r="B118" s="548"/>
      <c r="C118" s="585" t="s">
        <v>165</v>
      </c>
      <c r="D118" s="586"/>
      <c r="E118" s="195"/>
      <c r="F118" s="195"/>
      <c r="G118" s="191"/>
      <c r="H118" s="597"/>
      <c r="I118" s="598"/>
      <c r="J118" s="598"/>
      <c r="K118" s="598"/>
      <c r="L118" s="598"/>
      <c r="M118" s="598"/>
      <c r="N118" s="598"/>
      <c r="O118" s="598"/>
      <c r="P118" s="598"/>
      <c r="Q118" s="598"/>
      <c r="R118" s="598"/>
      <c r="S118" s="598"/>
      <c r="T118" s="598"/>
      <c r="U118" s="598"/>
      <c r="V118" s="598"/>
      <c r="W118" s="598"/>
      <c r="X118" s="598"/>
      <c r="Y118" s="599"/>
    </row>
    <row r="119" spans="1:25" ht="9.9499999999999993" customHeight="1" x14ac:dyDescent="0.25">
      <c r="A119" s="551"/>
      <c r="B119" s="548"/>
      <c r="C119" s="183"/>
      <c r="D119" s="183"/>
      <c r="E119" s="183"/>
      <c r="F119" s="183"/>
      <c r="G119" s="190"/>
      <c r="H119" s="593"/>
      <c r="I119" s="594"/>
      <c r="J119" s="594"/>
      <c r="K119" s="594"/>
      <c r="L119" s="594"/>
      <c r="M119" s="594"/>
      <c r="N119" s="594"/>
      <c r="O119" s="594"/>
      <c r="P119" s="594"/>
      <c r="Q119" s="594"/>
      <c r="R119" s="594"/>
      <c r="S119" s="594"/>
      <c r="T119" s="594"/>
      <c r="U119" s="594"/>
      <c r="V119" s="594"/>
      <c r="W119" s="594"/>
      <c r="X119" s="594"/>
      <c r="Y119" s="595"/>
    </row>
    <row r="120" spans="1:25" ht="9.9499999999999993" customHeight="1" x14ac:dyDescent="0.25">
      <c r="A120" s="549">
        <f t="shared" si="9"/>
        <v>38</v>
      </c>
      <c r="B120" s="548"/>
      <c r="C120" s="188"/>
      <c r="D120" s="188"/>
      <c r="E120" s="188"/>
      <c r="F120" s="188"/>
      <c r="G120" s="189"/>
      <c r="H120" s="590"/>
      <c r="I120" s="591"/>
      <c r="J120" s="591"/>
      <c r="K120" s="591"/>
      <c r="L120" s="591"/>
      <c r="M120" s="591"/>
      <c r="N120" s="591"/>
      <c r="O120" s="591"/>
      <c r="P120" s="591"/>
      <c r="Q120" s="591"/>
      <c r="R120" s="591"/>
      <c r="S120" s="591"/>
      <c r="T120" s="591"/>
      <c r="U120" s="591"/>
      <c r="V120" s="591"/>
      <c r="W120" s="591"/>
      <c r="X120" s="591"/>
      <c r="Y120" s="592"/>
    </row>
    <row r="121" spans="1:25" s="27" customFormat="1" ht="20.100000000000001" customHeight="1" x14ac:dyDescent="0.25">
      <c r="A121" s="550"/>
      <c r="B121" s="548"/>
      <c r="C121" s="585" t="s">
        <v>165</v>
      </c>
      <c r="D121" s="586"/>
      <c r="E121" s="195"/>
      <c r="F121" s="195"/>
      <c r="G121" s="191"/>
      <c r="H121" s="597"/>
      <c r="I121" s="598"/>
      <c r="J121" s="598"/>
      <c r="K121" s="598"/>
      <c r="L121" s="598"/>
      <c r="M121" s="598"/>
      <c r="N121" s="598"/>
      <c r="O121" s="598"/>
      <c r="P121" s="598"/>
      <c r="Q121" s="598"/>
      <c r="R121" s="598"/>
      <c r="S121" s="598"/>
      <c r="T121" s="598"/>
      <c r="U121" s="598"/>
      <c r="V121" s="598"/>
      <c r="W121" s="598"/>
      <c r="X121" s="598"/>
      <c r="Y121" s="599"/>
    </row>
    <row r="122" spans="1:25" ht="9.9499999999999993" customHeight="1" x14ac:dyDescent="0.25">
      <c r="A122" s="551"/>
      <c r="B122" s="548"/>
      <c r="C122" s="183"/>
      <c r="D122" s="183"/>
      <c r="E122" s="183"/>
      <c r="F122" s="183"/>
      <c r="G122" s="190"/>
      <c r="H122" s="593"/>
      <c r="I122" s="594"/>
      <c r="J122" s="594"/>
      <c r="K122" s="594"/>
      <c r="L122" s="594"/>
      <c r="M122" s="594"/>
      <c r="N122" s="594"/>
      <c r="O122" s="594"/>
      <c r="P122" s="594"/>
      <c r="Q122" s="594"/>
      <c r="R122" s="594"/>
      <c r="S122" s="594"/>
      <c r="T122" s="594"/>
      <c r="U122" s="594"/>
      <c r="V122" s="594"/>
      <c r="W122" s="594"/>
      <c r="X122" s="594"/>
      <c r="Y122" s="595"/>
    </row>
    <row r="123" spans="1:25" ht="9.9499999999999993" customHeight="1" x14ac:dyDescent="0.25">
      <c r="A123" s="549">
        <f t="shared" si="9"/>
        <v>39</v>
      </c>
      <c r="B123" s="548"/>
      <c r="C123" s="188"/>
      <c r="D123" s="188"/>
      <c r="E123" s="188"/>
      <c r="F123" s="188"/>
      <c r="G123" s="189"/>
      <c r="H123" s="590"/>
      <c r="I123" s="591"/>
      <c r="J123" s="591"/>
      <c r="K123" s="591"/>
      <c r="L123" s="591"/>
      <c r="M123" s="591"/>
      <c r="N123" s="591"/>
      <c r="O123" s="591"/>
      <c r="P123" s="591"/>
      <c r="Q123" s="591"/>
      <c r="R123" s="591"/>
      <c r="S123" s="591"/>
      <c r="T123" s="591"/>
      <c r="U123" s="591"/>
      <c r="V123" s="591"/>
      <c r="W123" s="591"/>
      <c r="X123" s="591"/>
      <c r="Y123" s="592"/>
    </row>
    <row r="124" spans="1:25" s="27" customFormat="1" ht="20.100000000000001" customHeight="1" x14ac:dyDescent="0.25">
      <c r="A124" s="550"/>
      <c r="B124" s="548"/>
      <c r="C124" s="585" t="s">
        <v>165</v>
      </c>
      <c r="D124" s="586"/>
      <c r="E124" s="195"/>
      <c r="F124" s="195"/>
      <c r="G124" s="191"/>
      <c r="H124" s="597"/>
      <c r="I124" s="598"/>
      <c r="J124" s="598"/>
      <c r="K124" s="598"/>
      <c r="L124" s="598"/>
      <c r="M124" s="598"/>
      <c r="N124" s="598"/>
      <c r="O124" s="598"/>
      <c r="P124" s="598"/>
      <c r="Q124" s="598"/>
      <c r="R124" s="598"/>
      <c r="S124" s="598"/>
      <c r="T124" s="598"/>
      <c r="U124" s="598"/>
      <c r="V124" s="598"/>
      <c r="W124" s="598"/>
      <c r="X124" s="598"/>
      <c r="Y124" s="599"/>
    </row>
    <row r="125" spans="1:25" ht="9.9499999999999993" customHeight="1" x14ac:dyDescent="0.25">
      <c r="A125" s="551"/>
      <c r="B125" s="548"/>
      <c r="C125" s="183"/>
      <c r="D125" s="183"/>
      <c r="E125" s="183"/>
      <c r="F125" s="183"/>
      <c r="G125" s="190"/>
      <c r="H125" s="593"/>
      <c r="I125" s="594"/>
      <c r="J125" s="594"/>
      <c r="K125" s="594"/>
      <c r="L125" s="594"/>
      <c r="M125" s="594"/>
      <c r="N125" s="594"/>
      <c r="O125" s="594"/>
      <c r="P125" s="594"/>
      <c r="Q125" s="594"/>
      <c r="R125" s="594"/>
      <c r="S125" s="594"/>
      <c r="T125" s="594"/>
      <c r="U125" s="594"/>
      <c r="V125" s="594"/>
      <c r="W125" s="594"/>
      <c r="X125" s="594"/>
      <c r="Y125" s="595"/>
    </row>
    <row r="126" spans="1:25" ht="9.9499999999999993" customHeight="1" x14ac:dyDescent="0.25">
      <c r="A126" s="549">
        <f t="shared" si="9"/>
        <v>40</v>
      </c>
      <c r="B126" s="548"/>
      <c r="C126" s="188"/>
      <c r="D126" s="188"/>
      <c r="E126" s="188"/>
      <c r="F126" s="188"/>
      <c r="G126" s="189"/>
      <c r="H126" s="590"/>
      <c r="I126" s="591"/>
      <c r="J126" s="591"/>
      <c r="K126" s="591"/>
      <c r="L126" s="591"/>
      <c r="M126" s="591"/>
      <c r="N126" s="591"/>
      <c r="O126" s="591"/>
      <c r="P126" s="591"/>
      <c r="Q126" s="591"/>
      <c r="R126" s="591"/>
      <c r="S126" s="591"/>
      <c r="T126" s="591"/>
      <c r="U126" s="591"/>
      <c r="V126" s="591"/>
      <c r="W126" s="591"/>
      <c r="X126" s="591"/>
      <c r="Y126" s="592"/>
    </row>
    <row r="127" spans="1:25" s="27" customFormat="1" ht="20.100000000000001" customHeight="1" x14ac:dyDescent="0.25">
      <c r="A127" s="550"/>
      <c r="B127" s="548"/>
      <c r="C127" s="585" t="s">
        <v>165</v>
      </c>
      <c r="D127" s="586"/>
      <c r="E127" s="195"/>
      <c r="F127" s="195"/>
      <c r="G127" s="191"/>
      <c r="H127" s="597"/>
      <c r="I127" s="598"/>
      <c r="J127" s="598"/>
      <c r="K127" s="598"/>
      <c r="L127" s="598"/>
      <c r="M127" s="598"/>
      <c r="N127" s="598"/>
      <c r="O127" s="598"/>
      <c r="P127" s="598"/>
      <c r="Q127" s="598"/>
      <c r="R127" s="598"/>
      <c r="S127" s="598"/>
      <c r="T127" s="598"/>
      <c r="U127" s="598"/>
      <c r="V127" s="598"/>
      <c r="W127" s="598"/>
      <c r="X127" s="598"/>
      <c r="Y127" s="599"/>
    </row>
    <row r="128" spans="1:25" ht="9.9499999999999993" customHeight="1" x14ac:dyDescent="0.25">
      <c r="A128" s="551"/>
      <c r="B128" s="548"/>
      <c r="C128" s="183"/>
      <c r="D128" s="183"/>
      <c r="E128" s="183"/>
      <c r="F128" s="183"/>
      <c r="G128" s="190"/>
      <c r="H128" s="593"/>
      <c r="I128" s="594"/>
      <c r="J128" s="594"/>
      <c r="K128" s="594"/>
      <c r="L128" s="594"/>
      <c r="M128" s="594"/>
      <c r="N128" s="594"/>
      <c r="O128" s="594"/>
      <c r="P128" s="594"/>
      <c r="Q128" s="594"/>
      <c r="R128" s="594"/>
      <c r="S128" s="594"/>
      <c r="T128" s="594"/>
      <c r="U128" s="594"/>
      <c r="V128" s="594"/>
      <c r="W128" s="594"/>
      <c r="X128" s="594"/>
      <c r="Y128" s="595"/>
    </row>
  </sheetData>
  <mergeCells count="182">
    <mergeCell ref="A1:O1"/>
    <mergeCell ref="Q1:Y2"/>
    <mergeCell ref="A2:O2"/>
    <mergeCell ref="A4:B4"/>
    <mergeCell ref="C4:K4"/>
    <mergeCell ref="M4:P4"/>
    <mergeCell ref="Q4:R4"/>
    <mergeCell ref="S4:T4"/>
    <mergeCell ref="U4:V4"/>
    <mergeCell ref="W4:Y4"/>
    <mergeCell ref="W5:Y5"/>
    <mergeCell ref="A7:A8"/>
    <mergeCell ref="B7:B8"/>
    <mergeCell ref="C7:G7"/>
    <mergeCell ref="C8:G8"/>
    <mergeCell ref="H7:Y8"/>
    <mergeCell ref="A5:B5"/>
    <mergeCell ref="C5:K5"/>
    <mergeCell ref="M5:P5"/>
    <mergeCell ref="Q5:R5"/>
    <mergeCell ref="S5:T5"/>
    <mergeCell ref="U5:V5"/>
    <mergeCell ref="A15:A17"/>
    <mergeCell ref="B15:B17"/>
    <mergeCell ref="C16:D16"/>
    <mergeCell ref="A18:A20"/>
    <mergeCell ref="B18:B20"/>
    <mergeCell ref="C19:D19"/>
    <mergeCell ref="A9:A11"/>
    <mergeCell ref="B9:B11"/>
    <mergeCell ref="C10:D10"/>
    <mergeCell ref="A12:A14"/>
    <mergeCell ref="B12:B14"/>
    <mergeCell ref="C13:D13"/>
    <mergeCell ref="A27:A29"/>
    <mergeCell ref="B27:B29"/>
    <mergeCell ref="C28:D28"/>
    <mergeCell ref="A30:A32"/>
    <mergeCell ref="B30:B32"/>
    <mergeCell ref="C31:D31"/>
    <mergeCell ref="A21:A23"/>
    <mergeCell ref="B21:B23"/>
    <mergeCell ref="C22:D22"/>
    <mergeCell ref="A24:A26"/>
    <mergeCell ref="B24:B26"/>
    <mergeCell ref="C25:D25"/>
    <mergeCell ref="A39:A41"/>
    <mergeCell ref="B39:B41"/>
    <mergeCell ref="C40:D40"/>
    <mergeCell ref="A42:A44"/>
    <mergeCell ref="B42:B44"/>
    <mergeCell ref="C43:D43"/>
    <mergeCell ref="A33:A35"/>
    <mergeCell ref="B33:B35"/>
    <mergeCell ref="C34:D34"/>
    <mergeCell ref="A36:A38"/>
    <mergeCell ref="B36:B38"/>
    <mergeCell ref="C37:D37"/>
    <mergeCell ref="A51:A53"/>
    <mergeCell ref="B51:B53"/>
    <mergeCell ref="C52:D52"/>
    <mergeCell ref="A54:A56"/>
    <mergeCell ref="B54:B56"/>
    <mergeCell ref="C55:D55"/>
    <mergeCell ref="A45:A47"/>
    <mergeCell ref="B45:B47"/>
    <mergeCell ref="C46:D46"/>
    <mergeCell ref="A48:A50"/>
    <mergeCell ref="B48:B50"/>
    <mergeCell ref="C49:D49"/>
    <mergeCell ref="A63:A65"/>
    <mergeCell ref="B63:B65"/>
    <mergeCell ref="C64:D64"/>
    <mergeCell ref="A66:A68"/>
    <mergeCell ref="B66:B68"/>
    <mergeCell ref="C67:D67"/>
    <mergeCell ref="A57:A59"/>
    <mergeCell ref="B57:B59"/>
    <mergeCell ref="C58:D58"/>
    <mergeCell ref="A60:A62"/>
    <mergeCell ref="B60:B62"/>
    <mergeCell ref="C61:D61"/>
    <mergeCell ref="A75:A77"/>
    <mergeCell ref="B75:B77"/>
    <mergeCell ref="C76:D76"/>
    <mergeCell ref="A78:A80"/>
    <mergeCell ref="B78:B80"/>
    <mergeCell ref="C79:D79"/>
    <mergeCell ref="A69:A71"/>
    <mergeCell ref="B69:B71"/>
    <mergeCell ref="C70:D70"/>
    <mergeCell ref="A72:A74"/>
    <mergeCell ref="B72:B74"/>
    <mergeCell ref="C73:D73"/>
    <mergeCell ref="A87:A89"/>
    <mergeCell ref="B87:B89"/>
    <mergeCell ref="C88:D88"/>
    <mergeCell ref="A90:A92"/>
    <mergeCell ref="B90:B92"/>
    <mergeCell ref="C91:D91"/>
    <mergeCell ref="A81:A83"/>
    <mergeCell ref="B81:B83"/>
    <mergeCell ref="C82:D82"/>
    <mergeCell ref="A84:A86"/>
    <mergeCell ref="B84:B86"/>
    <mergeCell ref="C85:D85"/>
    <mergeCell ref="A99:A101"/>
    <mergeCell ref="B99:B101"/>
    <mergeCell ref="C100:D100"/>
    <mergeCell ref="A102:A104"/>
    <mergeCell ref="B102:B104"/>
    <mergeCell ref="C103:D103"/>
    <mergeCell ref="A93:A95"/>
    <mergeCell ref="B93:B95"/>
    <mergeCell ref="C94:D94"/>
    <mergeCell ref="A96:A98"/>
    <mergeCell ref="B96:B98"/>
    <mergeCell ref="C97:D97"/>
    <mergeCell ref="A111:A113"/>
    <mergeCell ref="B111:B113"/>
    <mergeCell ref="C112:D112"/>
    <mergeCell ref="A114:A116"/>
    <mergeCell ref="B114:B116"/>
    <mergeCell ref="C115:D115"/>
    <mergeCell ref="A105:A107"/>
    <mergeCell ref="B105:B107"/>
    <mergeCell ref="C106:D106"/>
    <mergeCell ref="A108:A110"/>
    <mergeCell ref="B108:B110"/>
    <mergeCell ref="C109:D109"/>
    <mergeCell ref="A123:A125"/>
    <mergeCell ref="B123:B125"/>
    <mergeCell ref="C124:D124"/>
    <mergeCell ref="A126:A128"/>
    <mergeCell ref="B126:B128"/>
    <mergeCell ref="C127:D127"/>
    <mergeCell ref="A117:A119"/>
    <mergeCell ref="B117:B119"/>
    <mergeCell ref="C118:D118"/>
    <mergeCell ref="A120:A122"/>
    <mergeCell ref="B120:B122"/>
    <mergeCell ref="C121:D121"/>
    <mergeCell ref="H33:Y35"/>
    <mergeCell ref="H36:Y38"/>
    <mergeCell ref="H39:Y41"/>
    <mergeCell ref="H42:Y44"/>
    <mergeCell ref="H45:Y47"/>
    <mergeCell ref="H48:Y50"/>
    <mergeCell ref="H9:Y11"/>
    <mergeCell ref="H12:Y14"/>
    <mergeCell ref="H15:Y17"/>
    <mergeCell ref="H18:Y20"/>
    <mergeCell ref="H21:Y23"/>
    <mergeCell ref="H24:Y26"/>
    <mergeCell ref="H27:Y29"/>
    <mergeCell ref="H30:Y32"/>
    <mergeCell ref="H69:Y71"/>
    <mergeCell ref="H72:Y74"/>
    <mergeCell ref="H75:Y77"/>
    <mergeCell ref="H78:Y80"/>
    <mergeCell ref="H81:Y83"/>
    <mergeCell ref="H84:Y86"/>
    <mergeCell ref="H51:Y53"/>
    <mergeCell ref="H54:Y56"/>
    <mergeCell ref="H57:Y59"/>
    <mergeCell ref="H60:Y62"/>
    <mergeCell ref="H63:Y65"/>
    <mergeCell ref="H66:Y68"/>
    <mergeCell ref="H123:Y125"/>
    <mergeCell ref="H126:Y128"/>
    <mergeCell ref="H105:Y107"/>
    <mergeCell ref="H108:Y110"/>
    <mergeCell ref="H111:Y113"/>
    <mergeCell ref="H114:Y116"/>
    <mergeCell ref="H117:Y119"/>
    <mergeCell ref="H120:Y122"/>
    <mergeCell ref="H87:Y89"/>
    <mergeCell ref="H90:Y92"/>
    <mergeCell ref="H93:Y95"/>
    <mergeCell ref="H96:Y98"/>
    <mergeCell ref="H99:Y101"/>
    <mergeCell ref="H102:Y104"/>
  </mergeCells>
  <pageMargins left="0.39370078740157483" right="0.39370078740157483" top="0.39370078740157483" bottom="0.78740157480314965" header="0" footer="0.39370078740157483"/>
  <pageSetup paperSize="9" orientation="landscape" horizontalDpi="300" r:id="rId1"/>
  <headerFooter>
    <oddFooter>Страница  &amp;P из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28"/>
  <sheetViews>
    <sheetView view="pageBreakPreview" zoomScaleSheetLayoutView="100" workbookViewId="0">
      <selection sqref="A1:O1"/>
    </sheetView>
  </sheetViews>
  <sheetFormatPr defaultColWidth="9.140625" defaultRowHeight="15" x14ac:dyDescent="0.25"/>
  <cols>
    <col min="1" max="1" width="5.7109375" style="14" customWidth="1"/>
    <col min="2" max="2" width="10.7109375" style="14" customWidth="1"/>
    <col min="3" max="3" width="15.7109375" style="14" customWidth="1"/>
    <col min="4" max="4" width="0.85546875" style="14" customWidth="1"/>
    <col min="5" max="6" width="3.28515625" style="14" customWidth="1"/>
    <col min="7" max="7" width="0.85546875" style="14" customWidth="1"/>
    <col min="8" max="8" width="15.7109375" style="14" customWidth="1"/>
    <col min="9" max="9" width="0.85546875" style="14" customWidth="1"/>
    <col min="10" max="11" width="3.28515625" style="14" customWidth="1"/>
    <col min="12" max="12" width="0.85546875" style="14" customWidth="1"/>
    <col min="13" max="25" width="5.7109375" style="14" customWidth="1"/>
    <col min="26" max="16384" width="9.140625" style="14"/>
  </cols>
  <sheetData>
    <row r="1" spans="1:28" ht="21" customHeight="1" x14ac:dyDescent="0.25">
      <c r="A1" s="566" t="str">
        <f>НазваниеПолное</f>
        <v>Ралли "Skoda Rally Weekend - 2017"</v>
      </c>
      <c r="B1" s="567"/>
      <c r="C1" s="567"/>
      <c r="D1" s="567"/>
      <c r="E1" s="567"/>
      <c r="F1" s="567"/>
      <c r="G1" s="567"/>
      <c r="H1" s="567"/>
      <c r="I1" s="567"/>
      <c r="J1" s="567"/>
      <c r="K1" s="567"/>
      <c r="L1" s="567"/>
      <c r="M1" s="567"/>
      <c r="N1" s="567"/>
      <c r="O1" s="568"/>
      <c r="P1" s="193"/>
      <c r="Q1" s="569" t="str">
        <f ca="1">INDIRECT(ADDRESS($AB$1,1,,,"Общее"))</f>
        <v>ДС-4 СЛ</v>
      </c>
      <c r="R1" s="569"/>
      <c r="S1" s="569"/>
      <c r="T1" s="569"/>
      <c r="U1" s="569"/>
      <c r="V1" s="569"/>
      <c r="W1" s="569"/>
      <c r="X1" s="569"/>
      <c r="Y1" s="569"/>
      <c r="AA1" s="14" t="s">
        <v>153</v>
      </c>
      <c r="AB1" s="14">
        <v>25</v>
      </c>
    </row>
    <row r="2" spans="1:28" ht="21" customHeight="1" x14ac:dyDescent="0.25">
      <c r="A2" s="570" t="s">
        <v>11</v>
      </c>
      <c r="B2" s="571"/>
      <c r="C2" s="571"/>
      <c r="D2" s="571"/>
      <c r="E2" s="571"/>
      <c r="F2" s="571"/>
      <c r="G2" s="571"/>
      <c r="H2" s="571"/>
      <c r="I2" s="571"/>
      <c r="J2" s="571"/>
      <c r="K2" s="571"/>
      <c r="L2" s="571"/>
      <c r="M2" s="571"/>
      <c r="N2" s="571"/>
      <c r="O2" s="572"/>
      <c r="P2" s="192"/>
      <c r="Q2" s="569"/>
      <c r="R2" s="569"/>
      <c r="S2" s="569"/>
      <c r="T2" s="569"/>
      <c r="U2" s="569"/>
      <c r="V2" s="569"/>
      <c r="W2" s="569"/>
      <c r="X2" s="569"/>
      <c r="Y2" s="569"/>
    </row>
    <row r="3" spans="1:28" ht="2.1" customHeight="1" x14ac:dyDescent="0.25">
      <c r="A3" s="18"/>
      <c r="B3" s="18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2"/>
      <c r="N3" s="182"/>
      <c r="O3" s="182"/>
      <c r="P3" s="182"/>
    </row>
    <row r="4" spans="1:28" ht="20.100000000000001" customHeight="1" x14ac:dyDescent="0.25">
      <c r="A4" s="548" t="s">
        <v>12</v>
      </c>
      <c r="B4" s="548"/>
      <c r="C4" s="573" t="str">
        <f ca="1">INDIRECT(ADDRESS($AB$1,12,,,"Общее"))</f>
        <v>Борисов+</v>
      </c>
      <c r="D4" s="573"/>
      <c r="E4" s="573"/>
      <c r="F4" s="573"/>
      <c r="G4" s="573"/>
      <c r="H4" s="573"/>
      <c r="I4" s="573"/>
      <c r="J4" s="573"/>
      <c r="K4" s="573"/>
      <c r="M4" s="548" t="s">
        <v>268</v>
      </c>
      <c r="N4" s="548"/>
      <c r="O4" s="548"/>
      <c r="P4" s="548"/>
      <c r="Q4" s="548" t="s">
        <v>136</v>
      </c>
      <c r="R4" s="548"/>
      <c r="S4" s="601">
        <f ca="1">INDIRECT(ADDRESS($AB$1,9,,,"Общее"))</f>
        <v>0.60278238626477421</v>
      </c>
      <c r="T4" s="601"/>
      <c r="U4" s="548" t="s">
        <v>135</v>
      </c>
      <c r="V4" s="548"/>
      <c r="W4" s="552" t="s">
        <v>164</v>
      </c>
      <c r="X4" s="552"/>
      <c r="Y4" s="552"/>
    </row>
    <row r="5" spans="1:28" ht="20.100000000000001" customHeight="1" x14ac:dyDescent="0.25">
      <c r="A5" s="548" t="s">
        <v>13</v>
      </c>
      <c r="B5" s="548"/>
      <c r="C5" s="548"/>
      <c r="D5" s="548"/>
      <c r="E5" s="548"/>
      <c r="F5" s="548"/>
      <c r="G5" s="548"/>
      <c r="H5" s="548"/>
      <c r="I5" s="548"/>
      <c r="J5" s="548"/>
      <c r="K5" s="548"/>
      <c r="M5" s="548" t="s">
        <v>269</v>
      </c>
      <c r="N5" s="548"/>
      <c r="O5" s="548"/>
      <c r="P5" s="548"/>
      <c r="Q5" s="548" t="s">
        <v>136</v>
      </c>
      <c r="R5" s="548"/>
      <c r="S5" s="601">
        <f ca="1">INDIRECT(ADDRESS($AB$1,11,,,"Общее"))</f>
        <v>0.65833794182032968</v>
      </c>
      <c r="T5" s="601"/>
      <c r="U5" s="548" t="s">
        <v>135</v>
      </c>
      <c r="V5" s="548"/>
      <c r="W5" s="552" t="s">
        <v>164</v>
      </c>
      <c r="X5" s="552"/>
      <c r="Y5" s="552"/>
    </row>
    <row r="6" spans="1:28" ht="2.1" customHeight="1" x14ac:dyDescent="0.25">
      <c r="A6" s="180"/>
      <c r="B6" s="180"/>
      <c r="C6" s="60"/>
      <c r="D6" s="60"/>
      <c r="E6" s="180"/>
      <c r="F6" s="180"/>
      <c r="G6" s="180"/>
      <c r="H6" s="60"/>
      <c r="I6" s="60"/>
      <c r="J6" s="180"/>
      <c r="K6" s="180"/>
      <c r="L6" s="180"/>
      <c r="M6" s="316"/>
      <c r="N6" s="316"/>
      <c r="O6" s="316"/>
      <c r="P6" s="316"/>
    </row>
    <row r="7" spans="1:28" ht="20.100000000000001" customHeight="1" x14ac:dyDescent="0.25">
      <c r="A7" s="553"/>
      <c r="B7" s="548" t="s">
        <v>0</v>
      </c>
      <c r="C7" s="587" t="s">
        <v>273</v>
      </c>
      <c r="D7" s="588"/>
      <c r="E7" s="588"/>
      <c r="F7" s="588"/>
      <c r="G7" s="589"/>
      <c r="H7" s="590" t="s">
        <v>80</v>
      </c>
      <c r="I7" s="591"/>
      <c r="J7" s="591"/>
      <c r="K7" s="591"/>
      <c r="L7" s="591"/>
      <c r="M7" s="591"/>
      <c r="N7" s="591"/>
      <c r="O7" s="591"/>
      <c r="P7" s="591"/>
      <c r="Q7" s="591"/>
      <c r="R7" s="591"/>
      <c r="S7" s="591"/>
      <c r="T7" s="591"/>
      <c r="U7" s="591"/>
      <c r="V7" s="591"/>
      <c r="W7" s="591"/>
      <c r="X7" s="591"/>
      <c r="Y7" s="592"/>
      <c r="AA7" s="14" t="s">
        <v>190</v>
      </c>
    </row>
    <row r="8" spans="1:28" ht="20.100000000000001" customHeight="1" x14ac:dyDescent="0.25">
      <c r="A8" s="553"/>
      <c r="B8" s="548"/>
      <c r="C8" s="587" t="s">
        <v>272</v>
      </c>
      <c r="D8" s="588"/>
      <c r="E8" s="588"/>
      <c r="F8" s="588"/>
      <c r="G8" s="589"/>
      <c r="H8" s="593"/>
      <c r="I8" s="594"/>
      <c r="J8" s="594"/>
      <c r="K8" s="594"/>
      <c r="L8" s="594"/>
      <c r="M8" s="594"/>
      <c r="N8" s="594"/>
      <c r="O8" s="594"/>
      <c r="P8" s="594"/>
      <c r="Q8" s="594"/>
      <c r="R8" s="594"/>
      <c r="S8" s="594"/>
      <c r="T8" s="594"/>
      <c r="U8" s="594"/>
      <c r="V8" s="594"/>
      <c r="W8" s="594"/>
      <c r="X8" s="594"/>
      <c r="Y8" s="595"/>
    </row>
    <row r="9" spans="1:28" ht="9.9499999999999993" customHeight="1" x14ac:dyDescent="0.25">
      <c r="A9" s="549">
        <v>1</v>
      </c>
      <c r="B9" s="548"/>
      <c r="C9" s="317"/>
      <c r="D9" s="317"/>
      <c r="E9" s="317"/>
      <c r="F9" s="317"/>
      <c r="G9" s="318"/>
      <c r="H9" s="590"/>
      <c r="I9" s="591"/>
      <c r="J9" s="591"/>
      <c r="K9" s="591"/>
      <c r="L9" s="591"/>
      <c r="M9" s="591"/>
      <c r="N9" s="591"/>
      <c r="O9" s="591"/>
      <c r="P9" s="591"/>
      <c r="Q9" s="591"/>
      <c r="R9" s="591"/>
      <c r="S9" s="591"/>
      <c r="T9" s="591"/>
      <c r="U9" s="591"/>
      <c r="V9" s="591"/>
      <c r="W9" s="591"/>
      <c r="X9" s="591"/>
      <c r="Y9" s="592"/>
    </row>
    <row r="10" spans="1:28" ht="20.100000000000001" customHeight="1" x14ac:dyDescent="0.25">
      <c r="A10" s="550"/>
      <c r="B10" s="548"/>
      <c r="C10" s="597" t="s">
        <v>271</v>
      </c>
      <c r="D10" s="598"/>
      <c r="E10" s="598"/>
      <c r="F10" s="598"/>
      <c r="G10" s="599"/>
      <c r="H10" s="597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  <c r="U10" s="598"/>
      <c r="V10" s="598"/>
      <c r="W10" s="598"/>
      <c r="X10" s="598"/>
      <c r="Y10" s="599"/>
    </row>
    <row r="11" spans="1:28" ht="9.9499999999999993" customHeight="1" x14ac:dyDescent="0.25">
      <c r="A11" s="551"/>
      <c r="B11" s="548"/>
      <c r="C11" s="319"/>
      <c r="D11" s="319"/>
      <c r="E11" s="319"/>
      <c r="F11" s="319"/>
      <c r="G11" s="320"/>
      <c r="H11" s="593"/>
      <c r="I11" s="594"/>
      <c r="J11" s="594"/>
      <c r="K11" s="594"/>
      <c r="L11" s="594"/>
      <c r="M11" s="594"/>
      <c r="N11" s="594"/>
      <c r="O11" s="594"/>
      <c r="P11" s="594"/>
      <c r="Q11" s="594"/>
      <c r="R11" s="594"/>
      <c r="S11" s="594"/>
      <c r="T11" s="594"/>
      <c r="U11" s="594"/>
      <c r="V11" s="594"/>
      <c r="W11" s="594"/>
      <c r="X11" s="594"/>
      <c r="Y11" s="595"/>
    </row>
    <row r="12" spans="1:28" ht="9.9499999999999993" customHeight="1" x14ac:dyDescent="0.25">
      <c r="A12" s="549">
        <f>1+A9</f>
        <v>2</v>
      </c>
      <c r="B12" s="548"/>
      <c r="C12" s="317"/>
      <c r="D12" s="317"/>
      <c r="E12" s="317"/>
      <c r="F12" s="317"/>
      <c r="G12" s="318"/>
      <c r="H12" s="590"/>
      <c r="I12" s="591"/>
      <c r="J12" s="591"/>
      <c r="K12" s="591"/>
      <c r="L12" s="591"/>
      <c r="M12" s="591"/>
      <c r="N12" s="591"/>
      <c r="O12" s="591"/>
      <c r="P12" s="591"/>
      <c r="Q12" s="591"/>
      <c r="R12" s="591"/>
      <c r="S12" s="591"/>
      <c r="T12" s="591"/>
      <c r="U12" s="591"/>
      <c r="V12" s="591"/>
      <c r="W12" s="591"/>
      <c r="X12" s="591"/>
      <c r="Y12" s="592"/>
    </row>
    <row r="13" spans="1:28" ht="20.100000000000001" customHeight="1" x14ac:dyDescent="0.25">
      <c r="A13" s="550"/>
      <c r="B13" s="548"/>
      <c r="C13" s="597" t="s">
        <v>271</v>
      </c>
      <c r="D13" s="598"/>
      <c r="E13" s="598"/>
      <c r="F13" s="598"/>
      <c r="G13" s="599"/>
      <c r="H13" s="597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  <c r="U13" s="598"/>
      <c r="V13" s="598"/>
      <c r="W13" s="598"/>
      <c r="X13" s="598"/>
      <c r="Y13" s="599"/>
    </row>
    <row r="14" spans="1:28" ht="9.9499999999999993" customHeight="1" x14ac:dyDescent="0.25">
      <c r="A14" s="551"/>
      <c r="B14" s="548"/>
      <c r="C14" s="319"/>
      <c r="D14" s="319"/>
      <c r="E14" s="319"/>
      <c r="F14" s="319"/>
      <c r="G14" s="320"/>
      <c r="H14" s="593"/>
      <c r="I14" s="594"/>
      <c r="J14" s="594"/>
      <c r="K14" s="594"/>
      <c r="L14" s="594"/>
      <c r="M14" s="594"/>
      <c r="N14" s="594"/>
      <c r="O14" s="594"/>
      <c r="P14" s="594"/>
      <c r="Q14" s="594"/>
      <c r="R14" s="594"/>
      <c r="S14" s="594"/>
      <c r="T14" s="594"/>
      <c r="U14" s="594"/>
      <c r="V14" s="594"/>
      <c r="W14" s="594"/>
      <c r="X14" s="594"/>
      <c r="Y14" s="595"/>
    </row>
    <row r="15" spans="1:28" ht="9.9499999999999993" customHeight="1" x14ac:dyDescent="0.25">
      <c r="A15" s="549">
        <f>1+A12</f>
        <v>3</v>
      </c>
      <c r="B15" s="548"/>
      <c r="C15" s="317"/>
      <c r="D15" s="317"/>
      <c r="E15" s="317"/>
      <c r="F15" s="317"/>
      <c r="G15" s="318"/>
      <c r="H15" s="590"/>
      <c r="I15" s="591"/>
      <c r="J15" s="591"/>
      <c r="K15" s="591"/>
      <c r="L15" s="591"/>
      <c r="M15" s="591"/>
      <c r="N15" s="591"/>
      <c r="O15" s="591"/>
      <c r="P15" s="591"/>
      <c r="Q15" s="591"/>
      <c r="R15" s="591"/>
      <c r="S15" s="591"/>
      <c r="T15" s="591"/>
      <c r="U15" s="591"/>
      <c r="V15" s="591"/>
      <c r="W15" s="591"/>
      <c r="X15" s="591"/>
      <c r="Y15" s="592"/>
    </row>
    <row r="16" spans="1:28" ht="20.100000000000001" customHeight="1" x14ac:dyDescent="0.25">
      <c r="A16" s="550"/>
      <c r="B16" s="548"/>
      <c r="C16" s="597" t="s">
        <v>271</v>
      </c>
      <c r="D16" s="598"/>
      <c r="E16" s="598"/>
      <c r="F16" s="598"/>
      <c r="G16" s="599"/>
      <c r="H16" s="597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  <c r="U16" s="598"/>
      <c r="V16" s="598"/>
      <c r="W16" s="598"/>
      <c r="X16" s="598"/>
      <c r="Y16" s="599"/>
    </row>
    <row r="17" spans="1:25" ht="9.9499999999999993" customHeight="1" x14ac:dyDescent="0.25">
      <c r="A17" s="551"/>
      <c r="B17" s="548"/>
      <c r="C17" s="319"/>
      <c r="D17" s="319"/>
      <c r="E17" s="319"/>
      <c r="F17" s="319"/>
      <c r="G17" s="320"/>
      <c r="H17" s="593"/>
      <c r="I17" s="594"/>
      <c r="J17" s="594"/>
      <c r="K17" s="594"/>
      <c r="L17" s="594"/>
      <c r="M17" s="594"/>
      <c r="N17" s="594"/>
      <c r="O17" s="594"/>
      <c r="P17" s="594"/>
      <c r="Q17" s="594"/>
      <c r="R17" s="594"/>
      <c r="S17" s="594"/>
      <c r="T17" s="594"/>
      <c r="U17" s="594"/>
      <c r="V17" s="594"/>
      <c r="W17" s="594"/>
      <c r="X17" s="594"/>
      <c r="Y17" s="595"/>
    </row>
    <row r="18" spans="1:25" ht="9.9499999999999993" customHeight="1" x14ac:dyDescent="0.25">
      <c r="A18" s="549">
        <f t="shared" ref="A18" si="0">1+A15</f>
        <v>4</v>
      </c>
      <c r="B18" s="548"/>
      <c r="C18" s="317"/>
      <c r="D18" s="317"/>
      <c r="E18" s="317"/>
      <c r="F18" s="317"/>
      <c r="G18" s="318"/>
      <c r="H18" s="590"/>
      <c r="I18" s="591"/>
      <c r="J18" s="591"/>
      <c r="K18" s="591"/>
      <c r="L18" s="591"/>
      <c r="M18" s="591"/>
      <c r="N18" s="591"/>
      <c r="O18" s="591"/>
      <c r="P18" s="591"/>
      <c r="Q18" s="591"/>
      <c r="R18" s="591"/>
      <c r="S18" s="591"/>
      <c r="T18" s="591"/>
      <c r="U18" s="591"/>
      <c r="V18" s="591"/>
      <c r="W18" s="591"/>
      <c r="X18" s="591"/>
      <c r="Y18" s="592"/>
    </row>
    <row r="19" spans="1:25" ht="20.100000000000001" customHeight="1" x14ac:dyDescent="0.25">
      <c r="A19" s="550"/>
      <c r="B19" s="548"/>
      <c r="C19" s="597" t="s">
        <v>271</v>
      </c>
      <c r="D19" s="598"/>
      <c r="E19" s="598"/>
      <c r="F19" s="598"/>
      <c r="G19" s="599"/>
      <c r="H19" s="597"/>
      <c r="I19" s="598"/>
      <c r="J19" s="598"/>
      <c r="K19" s="598"/>
      <c r="L19" s="598"/>
      <c r="M19" s="598"/>
      <c r="N19" s="598"/>
      <c r="O19" s="598"/>
      <c r="P19" s="598"/>
      <c r="Q19" s="598"/>
      <c r="R19" s="598"/>
      <c r="S19" s="598"/>
      <c r="T19" s="598"/>
      <c r="U19" s="598"/>
      <c r="V19" s="598"/>
      <c r="W19" s="598"/>
      <c r="X19" s="598"/>
      <c r="Y19" s="599"/>
    </row>
    <row r="20" spans="1:25" ht="9.9499999999999993" customHeight="1" x14ac:dyDescent="0.25">
      <c r="A20" s="551"/>
      <c r="B20" s="548"/>
      <c r="C20" s="319"/>
      <c r="D20" s="319"/>
      <c r="E20" s="319"/>
      <c r="F20" s="319"/>
      <c r="G20" s="320"/>
      <c r="H20" s="593"/>
      <c r="I20" s="594"/>
      <c r="J20" s="594"/>
      <c r="K20" s="594"/>
      <c r="L20" s="594"/>
      <c r="M20" s="594"/>
      <c r="N20" s="594"/>
      <c r="O20" s="594"/>
      <c r="P20" s="594"/>
      <c r="Q20" s="594"/>
      <c r="R20" s="594"/>
      <c r="S20" s="594"/>
      <c r="T20" s="594"/>
      <c r="U20" s="594"/>
      <c r="V20" s="594"/>
      <c r="W20" s="594"/>
      <c r="X20" s="594"/>
      <c r="Y20" s="595"/>
    </row>
    <row r="21" spans="1:25" ht="9.9499999999999993" customHeight="1" x14ac:dyDescent="0.25">
      <c r="A21" s="549">
        <f t="shared" ref="A21" si="1">1+A18</f>
        <v>5</v>
      </c>
      <c r="B21" s="548"/>
      <c r="C21" s="317"/>
      <c r="D21" s="317"/>
      <c r="E21" s="317"/>
      <c r="F21" s="317"/>
      <c r="G21" s="318"/>
      <c r="H21" s="590"/>
      <c r="I21" s="591"/>
      <c r="J21" s="591"/>
      <c r="K21" s="591"/>
      <c r="L21" s="591"/>
      <c r="M21" s="591"/>
      <c r="N21" s="591"/>
      <c r="O21" s="591"/>
      <c r="P21" s="591"/>
      <c r="Q21" s="591"/>
      <c r="R21" s="591"/>
      <c r="S21" s="591"/>
      <c r="T21" s="591"/>
      <c r="U21" s="591"/>
      <c r="V21" s="591"/>
      <c r="W21" s="591"/>
      <c r="X21" s="591"/>
      <c r="Y21" s="592"/>
    </row>
    <row r="22" spans="1:25" ht="20.100000000000001" customHeight="1" x14ac:dyDescent="0.25">
      <c r="A22" s="550"/>
      <c r="B22" s="548"/>
      <c r="C22" s="597" t="s">
        <v>271</v>
      </c>
      <c r="D22" s="598"/>
      <c r="E22" s="598"/>
      <c r="F22" s="598"/>
      <c r="G22" s="599"/>
      <c r="H22" s="597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  <c r="U22" s="598"/>
      <c r="V22" s="598"/>
      <c r="W22" s="598"/>
      <c r="X22" s="598"/>
      <c r="Y22" s="599"/>
    </row>
    <row r="23" spans="1:25" ht="9.9499999999999993" customHeight="1" x14ac:dyDescent="0.25">
      <c r="A23" s="551"/>
      <c r="B23" s="548"/>
      <c r="C23" s="319"/>
      <c r="D23" s="319"/>
      <c r="E23" s="319"/>
      <c r="F23" s="319"/>
      <c r="G23" s="320"/>
      <c r="H23" s="593"/>
      <c r="I23" s="594"/>
      <c r="J23" s="594"/>
      <c r="K23" s="594"/>
      <c r="L23" s="594"/>
      <c r="M23" s="594"/>
      <c r="N23" s="594"/>
      <c r="O23" s="594"/>
      <c r="P23" s="594"/>
      <c r="Q23" s="594"/>
      <c r="R23" s="594"/>
      <c r="S23" s="594"/>
      <c r="T23" s="594"/>
      <c r="U23" s="594"/>
      <c r="V23" s="594"/>
      <c r="W23" s="594"/>
      <c r="X23" s="594"/>
      <c r="Y23" s="595"/>
    </row>
    <row r="24" spans="1:25" ht="9.9499999999999993" customHeight="1" x14ac:dyDescent="0.25">
      <c r="A24" s="549">
        <f t="shared" ref="A24" si="2">1+A21</f>
        <v>6</v>
      </c>
      <c r="B24" s="548"/>
      <c r="C24" s="317"/>
      <c r="D24" s="317"/>
      <c r="E24" s="317"/>
      <c r="F24" s="317"/>
      <c r="G24" s="318"/>
      <c r="H24" s="590"/>
      <c r="I24" s="591"/>
      <c r="J24" s="591"/>
      <c r="K24" s="591"/>
      <c r="L24" s="591"/>
      <c r="M24" s="591"/>
      <c r="N24" s="591"/>
      <c r="O24" s="591"/>
      <c r="P24" s="591"/>
      <c r="Q24" s="591"/>
      <c r="R24" s="591"/>
      <c r="S24" s="591"/>
      <c r="T24" s="591"/>
      <c r="U24" s="591"/>
      <c r="V24" s="591"/>
      <c r="W24" s="591"/>
      <c r="X24" s="591"/>
      <c r="Y24" s="592"/>
    </row>
    <row r="25" spans="1:25" ht="20.100000000000001" customHeight="1" x14ac:dyDescent="0.25">
      <c r="A25" s="550"/>
      <c r="B25" s="548"/>
      <c r="C25" s="597" t="s">
        <v>271</v>
      </c>
      <c r="D25" s="598"/>
      <c r="E25" s="598"/>
      <c r="F25" s="598"/>
      <c r="G25" s="599"/>
      <c r="H25" s="597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  <c r="U25" s="598"/>
      <c r="V25" s="598"/>
      <c r="W25" s="598"/>
      <c r="X25" s="598"/>
      <c r="Y25" s="599"/>
    </row>
    <row r="26" spans="1:25" ht="9.9499999999999993" customHeight="1" x14ac:dyDescent="0.25">
      <c r="A26" s="551"/>
      <c r="B26" s="548"/>
      <c r="C26" s="319"/>
      <c r="D26" s="319"/>
      <c r="E26" s="319"/>
      <c r="F26" s="319"/>
      <c r="G26" s="320"/>
      <c r="H26" s="593"/>
      <c r="I26" s="594"/>
      <c r="J26" s="594"/>
      <c r="K26" s="594"/>
      <c r="L26" s="594"/>
      <c r="M26" s="594"/>
      <c r="N26" s="594"/>
      <c r="O26" s="594"/>
      <c r="P26" s="594"/>
      <c r="Q26" s="594"/>
      <c r="R26" s="594"/>
      <c r="S26" s="594"/>
      <c r="T26" s="594"/>
      <c r="U26" s="594"/>
      <c r="V26" s="594"/>
      <c r="W26" s="594"/>
      <c r="X26" s="594"/>
      <c r="Y26" s="595"/>
    </row>
    <row r="27" spans="1:25" ht="9.9499999999999993" customHeight="1" x14ac:dyDescent="0.25">
      <c r="A27" s="549">
        <f t="shared" ref="A27" si="3">1+A24</f>
        <v>7</v>
      </c>
      <c r="B27" s="548"/>
      <c r="C27" s="317"/>
      <c r="D27" s="317"/>
      <c r="E27" s="317"/>
      <c r="F27" s="317"/>
      <c r="G27" s="318"/>
      <c r="H27" s="590"/>
      <c r="I27" s="591"/>
      <c r="J27" s="591"/>
      <c r="K27" s="591"/>
      <c r="L27" s="591"/>
      <c r="M27" s="591"/>
      <c r="N27" s="591"/>
      <c r="O27" s="591"/>
      <c r="P27" s="591"/>
      <c r="Q27" s="591"/>
      <c r="R27" s="591"/>
      <c r="S27" s="591"/>
      <c r="T27" s="591"/>
      <c r="U27" s="591"/>
      <c r="V27" s="591"/>
      <c r="W27" s="591"/>
      <c r="X27" s="591"/>
      <c r="Y27" s="592"/>
    </row>
    <row r="28" spans="1:25" ht="20.100000000000001" customHeight="1" x14ac:dyDescent="0.25">
      <c r="A28" s="550"/>
      <c r="B28" s="548"/>
      <c r="C28" s="597" t="s">
        <v>271</v>
      </c>
      <c r="D28" s="598"/>
      <c r="E28" s="598"/>
      <c r="F28" s="598"/>
      <c r="G28" s="599"/>
      <c r="H28" s="597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  <c r="U28" s="598"/>
      <c r="V28" s="598"/>
      <c r="W28" s="598"/>
      <c r="X28" s="598"/>
      <c r="Y28" s="599"/>
    </row>
    <row r="29" spans="1:25" ht="9.9499999999999993" customHeight="1" x14ac:dyDescent="0.25">
      <c r="A29" s="551"/>
      <c r="B29" s="548"/>
      <c r="C29" s="319"/>
      <c r="D29" s="319"/>
      <c r="E29" s="319"/>
      <c r="F29" s="319"/>
      <c r="G29" s="320"/>
      <c r="H29" s="593"/>
      <c r="I29" s="594"/>
      <c r="J29" s="594"/>
      <c r="K29" s="594"/>
      <c r="L29" s="594"/>
      <c r="M29" s="594"/>
      <c r="N29" s="594"/>
      <c r="O29" s="594"/>
      <c r="P29" s="594"/>
      <c r="Q29" s="594"/>
      <c r="R29" s="594"/>
      <c r="S29" s="594"/>
      <c r="T29" s="594"/>
      <c r="U29" s="594"/>
      <c r="V29" s="594"/>
      <c r="W29" s="594"/>
      <c r="X29" s="594"/>
      <c r="Y29" s="595"/>
    </row>
    <row r="30" spans="1:25" ht="9.9499999999999993" customHeight="1" x14ac:dyDescent="0.25">
      <c r="A30" s="549">
        <f t="shared" ref="A30" si="4">1+A27</f>
        <v>8</v>
      </c>
      <c r="B30" s="548"/>
      <c r="C30" s="317"/>
      <c r="D30" s="317"/>
      <c r="E30" s="317"/>
      <c r="F30" s="317"/>
      <c r="G30" s="318"/>
      <c r="H30" s="590"/>
      <c r="I30" s="591"/>
      <c r="J30" s="591"/>
      <c r="K30" s="591"/>
      <c r="L30" s="591"/>
      <c r="M30" s="591"/>
      <c r="N30" s="591"/>
      <c r="O30" s="591"/>
      <c r="P30" s="591"/>
      <c r="Q30" s="591"/>
      <c r="R30" s="591"/>
      <c r="S30" s="591"/>
      <c r="T30" s="591"/>
      <c r="U30" s="591"/>
      <c r="V30" s="591"/>
      <c r="W30" s="591"/>
      <c r="X30" s="591"/>
      <c r="Y30" s="592"/>
    </row>
    <row r="31" spans="1:25" ht="20.100000000000001" customHeight="1" x14ac:dyDescent="0.25">
      <c r="A31" s="550"/>
      <c r="B31" s="548"/>
      <c r="C31" s="597" t="s">
        <v>271</v>
      </c>
      <c r="D31" s="598"/>
      <c r="E31" s="598"/>
      <c r="F31" s="598"/>
      <c r="G31" s="599"/>
      <c r="H31" s="597"/>
      <c r="I31" s="598"/>
      <c r="J31" s="598"/>
      <c r="K31" s="598"/>
      <c r="L31" s="598"/>
      <c r="M31" s="598"/>
      <c r="N31" s="598"/>
      <c r="O31" s="598"/>
      <c r="P31" s="598"/>
      <c r="Q31" s="598"/>
      <c r="R31" s="598"/>
      <c r="S31" s="598"/>
      <c r="T31" s="598"/>
      <c r="U31" s="598"/>
      <c r="V31" s="598"/>
      <c r="W31" s="598"/>
      <c r="X31" s="598"/>
      <c r="Y31" s="599"/>
    </row>
    <row r="32" spans="1:25" ht="9.9499999999999993" customHeight="1" x14ac:dyDescent="0.25">
      <c r="A32" s="551"/>
      <c r="B32" s="548"/>
      <c r="C32" s="319"/>
      <c r="D32" s="319"/>
      <c r="E32" s="319"/>
      <c r="F32" s="319"/>
      <c r="G32" s="320"/>
      <c r="H32" s="593"/>
      <c r="I32" s="594"/>
      <c r="J32" s="594"/>
      <c r="K32" s="594"/>
      <c r="L32" s="594"/>
      <c r="M32" s="594"/>
      <c r="N32" s="594"/>
      <c r="O32" s="594"/>
      <c r="P32" s="594"/>
      <c r="Q32" s="594"/>
      <c r="R32" s="594"/>
      <c r="S32" s="594"/>
      <c r="T32" s="594"/>
      <c r="U32" s="594"/>
      <c r="V32" s="594"/>
      <c r="W32" s="594"/>
      <c r="X32" s="594"/>
      <c r="Y32" s="595"/>
    </row>
    <row r="33" spans="1:25" ht="9.9499999999999993" customHeight="1" x14ac:dyDescent="0.25">
      <c r="A33" s="549">
        <f t="shared" ref="A33" si="5">1+A30</f>
        <v>9</v>
      </c>
      <c r="B33" s="548"/>
      <c r="C33" s="317"/>
      <c r="D33" s="317"/>
      <c r="E33" s="317"/>
      <c r="F33" s="317"/>
      <c r="G33" s="318"/>
      <c r="H33" s="590"/>
      <c r="I33" s="591"/>
      <c r="J33" s="591"/>
      <c r="K33" s="591"/>
      <c r="L33" s="591"/>
      <c r="M33" s="591"/>
      <c r="N33" s="591"/>
      <c r="O33" s="591"/>
      <c r="P33" s="591"/>
      <c r="Q33" s="591"/>
      <c r="R33" s="591"/>
      <c r="S33" s="591"/>
      <c r="T33" s="591"/>
      <c r="U33" s="591"/>
      <c r="V33" s="591"/>
      <c r="W33" s="591"/>
      <c r="X33" s="591"/>
      <c r="Y33" s="592"/>
    </row>
    <row r="34" spans="1:25" ht="20.100000000000001" customHeight="1" x14ac:dyDescent="0.25">
      <c r="A34" s="550"/>
      <c r="B34" s="548"/>
      <c r="C34" s="597" t="s">
        <v>271</v>
      </c>
      <c r="D34" s="598"/>
      <c r="E34" s="598"/>
      <c r="F34" s="598"/>
      <c r="G34" s="599"/>
      <c r="H34" s="597"/>
      <c r="I34" s="598"/>
      <c r="J34" s="598"/>
      <c r="K34" s="598"/>
      <c r="L34" s="598"/>
      <c r="M34" s="598"/>
      <c r="N34" s="598"/>
      <c r="O34" s="598"/>
      <c r="P34" s="598"/>
      <c r="Q34" s="598"/>
      <c r="R34" s="598"/>
      <c r="S34" s="598"/>
      <c r="T34" s="598"/>
      <c r="U34" s="598"/>
      <c r="V34" s="598"/>
      <c r="W34" s="598"/>
      <c r="X34" s="598"/>
      <c r="Y34" s="599"/>
    </row>
    <row r="35" spans="1:25" ht="9.75" customHeight="1" x14ac:dyDescent="0.25">
      <c r="A35" s="551"/>
      <c r="B35" s="548"/>
      <c r="C35" s="319"/>
      <c r="D35" s="319"/>
      <c r="E35" s="319"/>
      <c r="F35" s="319"/>
      <c r="G35" s="320"/>
      <c r="H35" s="593"/>
      <c r="I35" s="594"/>
      <c r="J35" s="594"/>
      <c r="K35" s="594"/>
      <c r="L35" s="594"/>
      <c r="M35" s="594"/>
      <c r="N35" s="594"/>
      <c r="O35" s="594"/>
      <c r="P35" s="594"/>
      <c r="Q35" s="594"/>
      <c r="R35" s="594"/>
      <c r="S35" s="594"/>
      <c r="T35" s="594"/>
      <c r="U35" s="594"/>
      <c r="V35" s="594"/>
      <c r="W35" s="594"/>
      <c r="X35" s="594"/>
      <c r="Y35" s="595"/>
    </row>
    <row r="36" spans="1:25" ht="9.9499999999999993" customHeight="1" x14ac:dyDescent="0.25">
      <c r="A36" s="549">
        <f t="shared" ref="A36" si="6">1+A33</f>
        <v>10</v>
      </c>
      <c r="B36" s="548"/>
      <c r="C36" s="317"/>
      <c r="D36" s="317"/>
      <c r="E36" s="317"/>
      <c r="F36" s="317"/>
      <c r="G36" s="318"/>
      <c r="H36" s="590"/>
      <c r="I36" s="591"/>
      <c r="J36" s="591"/>
      <c r="K36" s="591"/>
      <c r="L36" s="591"/>
      <c r="M36" s="591"/>
      <c r="N36" s="591"/>
      <c r="O36" s="591"/>
      <c r="P36" s="591"/>
      <c r="Q36" s="591"/>
      <c r="R36" s="591"/>
      <c r="S36" s="591"/>
      <c r="T36" s="591"/>
      <c r="U36" s="591"/>
      <c r="V36" s="591"/>
      <c r="W36" s="591"/>
      <c r="X36" s="591"/>
      <c r="Y36" s="592"/>
    </row>
    <row r="37" spans="1:25" ht="20.100000000000001" customHeight="1" x14ac:dyDescent="0.25">
      <c r="A37" s="550"/>
      <c r="B37" s="548"/>
      <c r="C37" s="597" t="s">
        <v>271</v>
      </c>
      <c r="D37" s="598"/>
      <c r="E37" s="598"/>
      <c r="F37" s="598"/>
      <c r="G37" s="599"/>
      <c r="H37" s="597"/>
      <c r="I37" s="598"/>
      <c r="J37" s="598"/>
      <c r="K37" s="598"/>
      <c r="L37" s="598"/>
      <c r="M37" s="598"/>
      <c r="N37" s="598"/>
      <c r="O37" s="598"/>
      <c r="P37" s="598"/>
      <c r="Q37" s="598"/>
      <c r="R37" s="598"/>
      <c r="S37" s="598"/>
      <c r="T37" s="598"/>
      <c r="U37" s="598"/>
      <c r="V37" s="598"/>
      <c r="W37" s="598"/>
      <c r="X37" s="598"/>
      <c r="Y37" s="599"/>
    </row>
    <row r="38" spans="1:25" ht="9.9499999999999993" customHeight="1" x14ac:dyDescent="0.25">
      <c r="A38" s="551"/>
      <c r="B38" s="548"/>
      <c r="C38" s="319"/>
      <c r="D38" s="319"/>
      <c r="E38" s="319"/>
      <c r="F38" s="319"/>
      <c r="G38" s="320"/>
      <c r="H38" s="593"/>
      <c r="I38" s="594"/>
      <c r="J38" s="594"/>
      <c r="K38" s="594"/>
      <c r="L38" s="594"/>
      <c r="M38" s="594"/>
      <c r="N38" s="594"/>
      <c r="O38" s="594"/>
      <c r="P38" s="594"/>
      <c r="Q38" s="594"/>
      <c r="R38" s="594"/>
      <c r="S38" s="594"/>
      <c r="T38" s="594"/>
      <c r="U38" s="594"/>
      <c r="V38" s="594"/>
      <c r="W38" s="594"/>
      <c r="X38" s="594"/>
      <c r="Y38" s="595"/>
    </row>
    <row r="39" spans="1:25" ht="9.9499999999999993" customHeight="1" x14ac:dyDescent="0.25">
      <c r="A39" s="549">
        <f t="shared" ref="A39:A66" si="7">1+A36</f>
        <v>11</v>
      </c>
      <c r="B39" s="548"/>
      <c r="C39" s="317"/>
      <c r="D39" s="317"/>
      <c r="E39" s="317"/>
      <c r="F39" s="317"/>
      <c r="G39" s="318"/>
      <c r="H39" s="590"/>
      <c r="I39" s="591"/>
      <c r="J39" s="591"/>
      <c r="K39" s="591"/>
      <c r="L39" s="591"/>
      <c r="M39" s="591"/>
      <c r="N39" s="591"/>
      <c r="O39" s="591"/>
      <c r="P39" s="591"/>
      <c r="Q39" s="591"/>
      <c r="R39" s="591"/>
      <c r="S39" s="591"/>
      <c r="T39" s="591"/>
      <c r="U39" s="591"/>
      <c r="V39" s="591"/>
      <c r="W39" s="591"/>
      <c r="X39" s="591"/>
      <c r="Y39" s="592"/>
    </row>
    <row r="40" spans="1:25" ht="20.100000000000001" customHeight="1" x14ac:dyDescent="0.25">
      <c r="A40" s="550"/>
      <c r="B40" s="548"/>
      <c r="C40" s="597" t="s">
        <v>271</v>
      </c>
      <c r="D40" s="598"/>
      <c r="E40" s="598"/>
      <c r="F40" s="598"/>
      <c r="G40" s="599"/>
      <c r="H40" s="597"/>
      <c r="I40" s="598"/>
      <c r="J40" s="598"/>
      <c r="K40" s="598"/>
      <c r="L40" s="598"/>
      <c r="M40" s="598"/>
      <c r="N40" s="598"/>
      <c r="O40" s="598"/>
      <c r="P40" s="598"/>
      <c r="Q40" s="598"/>
      <c r="R40" s="598"/>
      <c r="S40" s="598"/>
      <c r="T40" s="598"/>
      <c r="U40" s="598"/>
      <c r="V40" s="598"/>
      <c r="W40" s="598"/>
      <c r="X40" s="598"/>
      <c r="Y40" s="599"/>
    </row>
    <row r="41" spans="1:25" ht="9.9499999999999993" customHeight="1" x14ac:dyDescent="0.25">
      <c r="A41" s="551"/>
      <c r="B41" s="548"/>
      <c r="C41" s="319"/>
      <c r="D41" s="319"/>
      <c r="E41" s="319"/>
      <c r="F41" s="319"/>
      <c r="G41" s="320"/>
      <c r="H41" s="593"/>
      <c r="I41" s="594"/>
      <c r="J41" s="594"/>
      <c r="K41" s="594"/>
      <c r="L41" s="594"/>
      <c r="M41" s="594"/>
      <c r="N41" s="594"/>
      <c r="O41" s="594"/>
      <c r="P41" s="594"/>
      <c r="Q41" s="594"/>
      <c r="R41" s="594"/>
      <c r="S41" s="594"/>
      <c r="T41" s="594"/>
      <c r="U41" s="594"/>
      <c r="V41" s="594"/>
      <c r="W41" s="594"/>
      <c r="X41" s="594"/>
      <c r="Y41" s="595"/>
    </row>
    <row r="42" spans="1:25" ht="9.9499999999999993" customHeight="1" x14ac:dyDescent="0.25">
      <c r="A42" s="549">
        <f t="shared" si="7"/>
        <v>12</v>
      </c>
      <c r="B42" s="548"/>
      <c r="C42" s="317"/>
      <c r="D42" s="317"/>
      <c r="E42" s="317"/>
      <c r="F42" s="317"/>
      <c r="G42" s="318"/>
      <c r="H42" s="590"/>
      <c r="I42" s="591"/>
      <c r="J42" s="591"/>
      <c r="K42" s="591"/>
      <c r="L42" s="591"/>
      <c r="M42" s="591"/>
      <c r="N42" s="591"/>
      <c r="O42" s="591"/>
      <c r="P42" s="591"/>
      <c r="Q42" s="591"/>
      <c r="R42" s="591"/>
      <c r="S42" s="591"/>
      <c r="T42" s="591"/>
      <c r="U42" s="591"/>
      <c r="V42" s="591"/>
      <c r="W42" s="591"/>
      <c r="X42" s="591"/>
      <c r="Y42" s="592"/>
    </row>
    <row r="43" spans="1:25" ht="20.100000000000001" customHeight="1" x14ac:dyDescent="0.25">
      <c r="A43" s="550"/>
      <c r="B43" s="548"/>
      <c r="C43" s="597" t="s">
        <v>271</v>
      </c>
      <c r="D43" s="598"/>
      <c r="E43" s="598"/>
      <c r="F43" s="598"/>
      <c r="G43" s="599"/>
      <c r="H43" s="597"/>
      <c r="I43" s="598"/>
      <c r="J43" s="598"/>
      <c r="K43" s="598"/>
      <c r="L43" s="598"/>
      <c r="M43" s="598"/>
      <c r="N43" s="598"/>
      <c r="O43" s="598"/>
      <c r="P43" s="598"/>
      <c r="Q43" s="598"/>
      <c r="R43" s="598"/>
      <c r="S43" s="598"/>
      <c r="T43" s="598"/>
      <c r="U43" s="598"/>
      <c r="V43" s="598"/>
      <c r="W43" s="598"/>
      <c r="X43" s="598"/>
      <c r="Y43" s="599"/>
    </row>
    <row r="44" spans="1:25" ht="9.9499999999999993" customHeight="1" x14ac:dyDescent="0.25">
      <c r="A44" s="551"/>
      <c r="B44" s="548"/>
      <c r="C44" s="319"/>
      <c r="D44" s="319"/>
      <c r="E44" s="319"/>
      <c r="F44" s="319"/>
      <c r="G44" s="320"/>
      <c r="H44" s="593"/>
      <c r="I44" s="594"/>
      <c r="J44" s="594"/>
      <c r="K44" s="594"/>
      <c r="L44" s="594"/>
      <c r="M44" s="594"/>
      <c r="N44" s="594"/>
      <c r="O44" s="594"/>
      <c r="P44" s="594"/>
      <c r="Q44" s="594"/>
      <c r="R44" s="594"/>
      <c r="S44" s="594"/>
      <c r="T44" s="594"/>
      <c r="U44" s="594"/>
      <c r="V44" s="594"/>
      <c r="W44" s="594"/>
      <c r="X44" s="594"/>
      <c r="Y44" s="595"/>
    </row>
    <row r="45" spans="1:25" ht="9.9499999999999993" customHeight="1" x14ac:dyDescent="0.25">
      <c r="A45" s="549">
        <f t="shared" si="7"/>
        <v>13</v>
      </c>
      <c r="B45" s="548"/>
      <c r="C45" s="317"/>
      <c r="D45" s="317"/>
      <c r="E45" s="317"/>
      <c r="F45" s="317"/>
      <c r="G45" s="318"/>
      <c r="H45" s="590"/>
      <c r="I45" s="591"/>
      <c r="J45" s="591"/>
      <c r="K45" s="591"/>
      <c r="L45" s="591"/>
      <c r="M45" s="591"/>
      <c r="N45" s="591"/>
      <c r="O45" s="591"/>
      <c r="P45" s="591"/>
      <c r="Q45" s="591"/>
      <c r="R45" s="591"/>
      <c r="S45" s="591"/>
      <c r="T45" s="591"/>
      <c r="U45" s="591"/>
      <c r="V45" s="591"/>
      <c r="W45" s="591"/>
      <c r="X45" s="591"/>
      <c r="Y45" s="592"/>
    </row>
    <row r="46" spans="1:25" ht="20.100000000000001" customHeight="1" x14ac:dyDescent="0.25">
      <c r="A46" s="550"/>
      <c r="B46" s="548"/>
      <c r="C46" s="597" t="s">
        <v>271</v>
      </c>
      <c r="D46" s="598"/>
      <c r="E46" s="598"/>
      <c r="F46" s="598"/>
      <c r="G46" s="599"/>
      <c r="H46" s="597"/>
      <c r="I46" s="598"/>
      <c r="J46" s="598"/>
      <c r="K46" s="598"/>
      <c r="L46" s="598"/>
      <c r="M46" s="598"/>
      <c r="N46" s="598"/>
      <c r="O46" s="598"/>
      <c r="P46" s="598"/>
      <c r="Q46" s="598"/>
      <c r="R46" s="598"/>
      <c r="S46" s="598"/>
      <c r="T46" s="598"/>
      <c r="U46" s="598"/>
      <c r="V46" s="598"/>
      <c r="W46" s="598"/>
      <c r="X46" s="598"/>
      <c r="Y46" s="599"/>
    </row>
    <row r="47" spans="1:25" ht="9.9499999999999993" customHeight="1" x14ac:dyDescent="0.25">
      <c r="A47" s="551"/>
      <c r="B47" s="548"/>
      <c r="C47" s="319"/>
      <c r="D47" s="319"/>
      <c r="E47" s="319"/>
      <c r="F47" s="319"/>
      <c r="G47" s="320"/>
      <c r="H47" s="593"/>
      <c r="I47" s="594"/>
      <c r="J47" s="594"/>
      <c r="K47" s="594"/>
      <c r="L47" s="594"/>
      <c r="M47" s="594"/>
      <c r="N47" s="594"/>
      <c r="O47" s="594"/>
      <c r="P47" s="594"/>
      <c r="Q47" s="594"/>
      <c r="R47" s="594"/>
      <c r="S47" s="594"/>
      <c r="T47" s="594"/>
      <c r="U47" s="594"/>
      <c r="V47" s="594"/>
      <c r="W47" s="594"/>
      <c r="X47" s="594"/>
      <c r="Y47" s="595"/>
    </row>
    <row r="48" spans="1:25" ht="9.9499999999999993" customHeight="1" x14ac:dyDescent="0.25">
      <c r="A48" s="549">
        <f t="shared" si="7"/>
        <v>14</v>
      </c>
      <c r="B48" s="548"/>
      <c r="C48" s="317"/>
      <c r="D48" s="317"/>
      <c r="E48" s="317"/>
      <c r="F48" s="317"/>
      <c r="G48" s="318"/>
      <c r="H48" s="590"/>
      <c r="I48" s="591"/>
      <c r="J48" s="591"/>
      <c r="K48" s="591"/>
      <c r="L48" s="591"/>
      <c r="M48" s="591"/>
      <c r="N48" s="591"/>
      <c r="O48" s="591"/>
      <c r="P48" s="591"/>
      <c r="Q48" s="591"/>
      <c r="R48" s="591"/>
      <c r="S48" s="591"/>
      <c r="T48" s="591"/>
      <c r="U48" s="591"/>
      <c r="V48" s="591"/>
      <c r="W48" s="591"/>
      <c r="X48" s="591"/>
      <c r="Y48" s="592"/>
    </row>
    <row r="49" spans="1:25" ht="20.100000000000001" customHeight="1" x14ac:dyDescent="0.25">
      <c r="A49" s="550"/>
      <c r="B49" s="548"/>
      <c r="C49" s="597" t="s">
        <v>271</v>
      </c>
      <c r="D49" s="598"/>
      <c r="E49" s="598"/>
      <c r="F49" s="598"/>
      <c r="G49" s="599"/>
      <c r="H49" s="597"/>
      <c r="I49" s="598"/>
      <c r="J49" s="598"/>
      <c r="K49" s="598"/>
      <c r="L49" s="598"/>
      <c r="M49" s="598"/>
      <c r="N49" s="598"/>
      <c r="O49" s="598"/>
      <c r="P49" s="598"/>
      <c r="Q49" s="598"/>
      <c r="R49" s="598"/>
      <c r="S49" s="598"/>
      <c r="T49" s="598"/>
      <c r="U49" s="598"/>
      <c r="V49" s="598"/>
      <c r="W49" s="598"/>
      <c r="X49" s="598"/>
      <c r="Y49" s="599"/>
    </row>
    <row r="50" spans="1:25" ht="9.9499999999999993" customHeight="1" x14ac:dyDescent="0.25">
      <c r="A50" s="551"/>
      <c r="B50" s="548"/>
      <c r="C50" s="319"/>
      <c r="D50" s="319"/>
      <c r="E50" s="319"/>
      <c r="F50" s="319"/>
      <c r="G50" s="320"/>
      <c r="H50" s="593"/>
      <c r="I50" s="594"/>
      <c r="J50" s="594"/>
      <c r="K50" s="594"/>
      <c r="L50" s="594"/>
      <c r="M50" s="594"/>
      <c r="N50" s="594"/>
      <c r="O50" s="594"/>
      <c r="P50" s="594"/>
      <c r="Q50" s="594"/>
      <c r="R50" s="594"/>
      <c r="S50" s="594"/>
      <c r="T50" s="594"/>
      <c r="U50" s="594"/>
      <c r="V50" s="594"/>
      <c r="W50" s="594"/>
      <c r="X50" s="594"/>
      <c r="Y50" s="595"/>
    </row>
    <row r="51" spans="1:25" ht="9.9499999999999993" customHeight="1" x14ac:dyDescent="0.25">
      <c r="A51" s="549">
        <f t="shared" si="7"/>
        <v>15</v>
      </c>
      <c r="B51" s="548"/>
      <c r="C51" s="317"/>
      <c r="D51" s="317"/>
      <c r="E51" s="317"/>
      <c r="F51" s="317"/>
      <c r="G51" s="318"/>
      <c r="H51" s="590"/>
      <c r="I51" s="591"/>
      <c r="J51" s="591"/>
      <c r="K51" s="591"/>
      <c r="L51" s="591"/>
      <c r="M51" s="591"/>
      <c r="N51" s="591"/>
      <c r="O51" s="591"/>
      <c r="P51" s="591"/>
      <c r="Q51" s="591"/>
      <c r="R51" s="591"/>
      <c r="S51" s="591"/>
      <c r="T51" s="591"/>
      <c r="U51" s="591"/>
      <c r="V51" s="591"/>
      <c r="W51" s="591"/>
      <c r="X51" s="591"/>
      <c r="Y51" s="592"/>
    </row>
    <row r="52" spans="1:25" ht="20.100000000000001" customHeight="1" x14ac:dyDescent="0.25">
      <c r="A52" s="550"/>
      <c r="B52" s="548"/>
      <c r="C52" s="597" t="s">
        <v>271</v>
      </c>
      <c r="D52" s="598"/>
      <c r="E52" s="598"/>
      <c r="F52" s="598"/>
      <c r="G52" s="599"/>
      <c r="H52" s="597"/>
      <c r="I52" s="598"/>
      <c r="J52" s="598"/>
      <c r="K52" s="598"/>
      <c r="L52" s="598"/>
      <c r="M52" s="598"/>
      <c r="N52" s="598"/>
      <c r="O52" s="598"/>
      <c r="P52" s="598"/>
      <c r="Q52" s="598"/>
      <c r="R52" s="598"/>
      <c r="S52" s="598"/>
      <c r="T52" s="598"/>
      <c r="U52" s="598"/>
      <c r="V52" s="598"/>
      <c r="W52" s="598"/>
      <c r="X52" s="598"/>
      <c r="Y52" s="599"/>
    </row>
    <row r="53" spans="1:25" ht="9.9499999999999993" customHeight="1" x14ac:dyDescent="0.25">
      <c r="A53" s="551"/>
      <c r="B53" s="548"/>
      <c r="C53" s="319"/>
      <c r="D53" s="319"/>
      <c r="E53" s="319"/>
      <c r="F53" s="319"/>
      <c r="G53" s="320"/>
      <c r="H53" s="593"/>
      <c r="I53" s="594"/>
      <c r="J53" s="594"/>
      <c r="K53" s="594"/>
      <c r="L53" s="594"/>
      <c r="M53" s="594"/>
      <c r="N53" s="594"/>
      <c r="O53" s="594"/>
      <c r="P53" s="594"/>
      <c r="Q53" s="594"/>
      <c r="R53" s="594"/>
      <c r="S53" s="594"/>
      <c r="T53" s="594"/>
      <c r="U53" s="594"/>
      <c r="V53" s="594"/>
      <c r="W53" s="594"/>
      <c r="X53" s="594"/>
      <c r="Y53" s="595"/>
    </row>
    <row r="54" spans="1:25" ht="9.9499999999999993" customHeight="1" x14ac:dyDescent="0.25">
      <c r="A54" s="549">
        <f t="shared" si="7"/>
        <v>16</v>
      </c>
      <c r="B54" s="548"/>
      <c r="C54" s="317"/>
      <c r="D54" s="317"/>
      <c r="E54" s="317"/>
      <c r="F54" s="317"/>
      <c r="G54" s="318"/>
      <c r="H54" s="590"/>
      <c r="I54" s="591"/>
      <c r="J54" s="591"/>
      <c r="K54" s="591"/>
      <c r="L54" s="591"/>
      <c r="M54" s="591"/>
      <c r="N54" s="591"/>
      <c r="O54" s="591"/>
      <c r="P54" s="591"/>
      <c r="Q54" s="591"/>
      <c r="R54" s="591"/>
      <c r="S54" s="591"/>
      <c r="T54" s="591"/>
      <c r="U54" s="591"/>
      <c r="V54" s="591"/>
      <c r="W54" s="591"/>
      <c r="X54" s="591"/>
      <c r="Y54" s="592"/>
    </row>
    <row r="55" spans="1:25" ht="20.100000000000001" customHeight="1" x14ac:dyDescent="0.25">
      <c r="A55" s="550"/>
      <c r="B55" s="548"/>
      <c r="C55" s="597" t="s">
        <v>271</v>
      </c>
      <c r="D55" s="598"/>
      <c r="E55" s="598"/>
      <c r="F55" s="598"/>
      <c r="G55" s="599"/>
      <c r="H55" s="597"/>
      <c r="I55" s="598"/>
      <c r="J55" s="598"/>
      <c r="K55" s="598"/>
      <c r="L55" s="598"/>
      <c r="M55" s="598"/>
      <c r="N55" s="598"/>
      <c r="O55" s="598"/>
      <c r="P55" s="598"/>
      <c r="Q55" s="598"/>
      <c r="R55" s="598"/>
      <c r="S55" s="598"/>
      <c r="T55" s="598"/>
      <c r="U55" s="598"/>
      <c r="V55" s="598"/>
      <c r="W55" s="598"/>
      <c r="X55" s="598"/>
      <c r="Y55" s="599"/>
    </row>
    <row r="56" spans="1:25" ht="9.9499999999999993" customHeight="1" x14ac:dyDescent="0.25">
      <c r="A56" s="551"/>
      <c r="B56" s="548"/>
      <c r="C56" s="319"/>
      <c r="D56" s="319"/>
      <c r="E56" s="319"/>
      <c r="F56" s="319"/>
      <c r="G56" s="320"/>
      <c r="H56" s="593"/>
      <c r="I56" s="594"/>
      <c r="J56" s="594"/>
      <c r="K56" s="594"/>
      <c r="L56" s="594"/>
      <c r="M56" s="594"/>
      <c r="N56" s="594"/>
      <c r="O56" s="594"/>
      <c r="P56" s="594"/>
      <c r="Q56" s="594"/>
      <c r="R56" s="594"/>
      <c r="S56" s="594"/>
      <c r="T56" s="594"/>
      <c r="U56" s="594"/>
      <c r="V56" s="594"/>
      <c r="W56" s="594"/>
      <c r="X56" s="594"/>
      <c r="Y56" s="595"/>
    </row>
    <row r="57" spans="1:25" ht="9.9499999999999993" customHeight="1" x14ac:dyDescent="0.25">
      <c r="A57" s="549">
        <f t="shared" si="7"/>
        <v>17</v>
      </c>
      <c r="B57" s="548"/>
      <c r="C57" s="317"/>
      <c r="D57" s="317"/>
      <c r="E57" s="317"/>
      <c r="F57" s="317"/>
      <c r="G57" s="318"/>
      <c r="H57" s="590"/>
      <c r="I57" s="591"/>
      <c r="J57" s="591"/>
      <c r="K57" s="591"/>
      <c r="L57" s="591"/>
      <c r="M57" s="591"/>
      <c r="N57" s="591"/>
      <c r="O57" s="591"/>
      <c r="P57" s="591"/>
      <c r="Q57" s="591"/>
      <c r="R57" s="591"/>
      <c r="S57" s="591"/>
      <c r="T57" s="591"/>
      <c r="U57" s="591"/>
      <c r="V57" s="591"/>
      <c r="W57" s="591"/>
      <c r="X57" s="591"/>
      <c r="Y57" s="592"/>
    </row>
    <row r="58" spans="1:25" ht="20.100000000000001" customHeight="1" x14ac:dyDescent="0.25">
      <c r="A58" s="550"/>
      <c r="B58" s="548"/>
      <c r="C58" s="597" t="s">
        <v>271</v>
      </c>
      <c r="D58" s="598"/>
      <c r="E58" s="598"/>
      <c r="F58" s="598"/>
      <c r="G58" s="599"/>
      <c r="H58" s="597"/>
      <c r="I58" s="598"/>
      <c r="J58" s="598"/>
      <c r="K58" s="598"/>
      <c r="L58" s="598"/>
      <c r="M58" s="598"/>
      <c r="N58" s="598"/>
      <c r="O58" s="598"/>
      <c r="P58" s="598"/>
      <c r="Q58" s="598"/>
      <c r="R58" s="598"/>
      <c r="S58" s="598"/>
      <c r="T58" s="598"/>
      <c r="U58" s="598"/>
      <c r="V58" s="598"/>
      <c r="W58" s="598"/>
      <c r="X58" s="598"/>
      <c r="Y58" s="599"/>
    </row>
    <row r="59" spans="1:25" ht="9.9499999999999993" customHeight="1" x14ac:dyDescent="0.25">
      <c r="A59" s="551"/>
      <c r="B59" s="548"/>
      <c r="C59" s="319"/>
      <c r="D59" s="319"/>
      <c r="E59" s="319"/>
      <c r="F59" s="319"/>
      <c r="G59" s="320"/>
      <c r="H59" s="593"/>
      <c r="I59" s="594"/>
      <c r="J59" s="594"/>
      <c r="K59" s="594"/>
      <c r="L59" s="594"/>
      <c r="M59" s="594"/>
      <c r="N59" s="594"/>
      <c r="O59" s="594"/>
      <c r="P59" s="594"/>
      <c r="Q59" s="594"/>
      <c r="R59" s="594"/>
      <c r="S59" s="594"/>
      <c r="T59" s="594"/>
      <c r="U59" s="594"/>
      <c r="V59" s="594"/>
      <c r="W59" s="594"/>
      <c r="X59" s="594"/>
      <c r="Y59" s="595"/>
    </row>
    <row r="60" spans="1:25" ht="9.9499999999999993" customHeight="1" x14ac:dyDescent="0.25">
      <c r="A60" s="549">
        <f t="shared" si="7"/>
        <v>18</v>
      </c>
      <c r="B60" s="548"/>
      <c r="C60" s="317"/>
      <c r="D60" s="317"/>
      <c r="E60" s="317"/>
      <c r="F60" s="317"/>
      <c r="G60" s="318"/>
      <c r="H60" s="590"/>
      <c r="I60" s="591"/>
      <c r="J60" s="591"/>
      <c r="K60" s="591"/>
      <c r="L60" s="591"/>
      <c r="M60" s="591"/>
      <c r="N60" s="591"/>
      <c r="O60" s="591"/>
      <c r="P60" s="591"/>
      <c r="Q60" s="591"/>
      <c r="R60" s="591"/>
      <c r="S60" s="591"/>
      <c r="T60" s="591"/>
      <c r="U60" s="591"/>
      <c r="V60" s="591"/>
      <c r="W60" s="591"/>
      <c r="X60" s="591"/>
      <c r="Y60" s="592"/>
    </row>
    <row r="61" spans="1:25" ht="20.100000000000001" customHeight="1" x14ac:dyDescent="0.25">
      <c r="A61" s="550"/>
      <c r="B61" s="548"/>
      <c r="C61" s="597" t="s">
        <v>271</v>
      </c>
      <c r="D61" s="598"/>
      <c r="E61" s="598"/>
      <c r="F61" s="598"/>
      <c r="G61" s="599"/>
      <c r="H61" s="597"/>
      <c r="I61" s="598"/>
      <c r="J61" s="598"/>
      <c r="K61" s="598"/>
      <c r="L61" s="598"/>
      <c r="M61" s="598"/>
      <c r="N61" s="598"/>
      <c r="O61" s="598"/>
      <c r="P61" s="598"/>
      <c r="Q61" s="598"/>
      <c r="R61" s="598"/>
      <c r="S61" s="598"/>
      <c r="T61" s="598"/>
      <c r="U61" s="598"/>
      <c r="V61" s="598"/>
      <c r="W61" s="598"/>
      <c r="X61" s="598"/>
      <c r="Y61" s="599"/>
    </row>
    <row r="62" spans="1:25" ht="9.9499999999999993" customHeight="1" x14ac:dyDescent="0.25">
      <c r="A62" s="551"/>
      <c r="B62" s="548"/>
      <c r="C62" s="319"/>
      <c r="D62" s="319"/>
      <c r="E62" s="319"/>
      <c r="F62" s="319"/>
      <c r="G62" s="320"/>
      <c r="H62" s="593"/>
      <c r="I62" s="594"/>
      <c r="J62" s="594"/>
      <c r="K62" s="594"/>
      <c r="L62" s="594"/>
      <c r="M62" s="594"/>
      <c r="N62" s="594"/>
      <c r="O62" s="594"/>
      <c r="P62" s="594"/>
      <c r="Q62" s="594"/>
      <c r="R62" s="594"/>
      <c r="S62" s="594"/>
      <c r="T62" s="594"/>
      <c r="U62" s="594"/>
      <c r="V62" s="594"/>
      <c r="W62" s="594"/>
      <c r="X62" s="594"/>
      <c r="Y62" s="595"/>
    </row>
    <row r="63" spans="1:25" ht="9.9499999999999993" customHeight="1" x14ac:dyDescent="0.25">
      <c r="A63" s="549">
        <f t="shared" si="7"/>
        <v>19</v>
      </c>
      <c r="B63" s="548"/>
      <c r="C63" s="317"/>
      <c r="D63" s="317"/>
      <c r="E63" s="317"/>
      <c r="F63" s="317"/>
      <c r="G63" s="318"/>
      <c r="H63" s="590"/>
      <c r="I63" s="591"/>
      <c r="J63" s="591"/>
      <c r="K63" s="591"/>
      <c r="L63" s="591"/>
      <c r="M63" s="591"/>
      <c r="N63" s="591"/>
      <c r="O63" s="591"/>
      <c r="P63" s="591"/>
      <c r="Q63" s="591"/>
      <c r="R63" s="591"/>
      <c r="S63" s="591"/>
      <c r="T63" s="591"/>
      <c r="U63" s="591"/>
      <c r="V63" s="591"/>
      <c r="W63" s="591"/>
      <c r="X63" s="591"/>
      <c r="Y63" s="592"/>
    </row>
    <row r="64" spans="1:25" ht="20.100000000000001" customHeight="1" x14ac:dyDescent="0.25">
      <c r="A64" s="550"/>
      <c r="B64" s="548"/>
      <c r="C64" s="597" t="s">
        <v>271</v>
      </c>
      <c r="D64" s="598"/>
      <c r="E64" s="598"/>
      <c r="F64" s="598"/>
      <c r="G64" s="599"/>
      <c r="H64" s="597"/>
      <c r="I64" s="598"/>
      <c r="J64" s="598"/>
      <c r="K64" s="598"/>
      <c r="L64" s="598"/>
      <c r="M64" s="598"/>
      <c r="N64" s="598"/>
      <c r="O64" s="598"/>
      <c r="P64" s="598"/>
      <c r="Q64" s="598"/>
      <c r="R64" s="598"/>
      <c r="S64" s="598"/>
      <c r="T64" s="598"/>
      <c r="U64" s="598"/>
      <c r="V64" s="598"/>
      <c r="W64" s="598"/>
      <c r="X64" s="598"/>
      <c r="Y64" s="599"/>
    </row>
    <row r="65" spans="1:25" ht="9.9499999999999993" customHeight="1" x14ac:dyDescent="0.25">
      <c r="A65" s="551"/>
      <c r="B65" s="548"/>
      <c r="C65" s="319"/>
      <c r="D65" s="319"/>
      <c r="E65" s="319"/>
      <c r="F65" s="319"/>
      <c r="G65" s="320"/>
      <c r="H65" s="593"/>
      <c r="I65" s="594"/>
      <c r="J65" s="594"/>
      <c r="K65" s="594"/>
      <c r="L65" s="594"/>
      <c r="M65" s="594"/>
      <c r="N65" s="594"/>
      <c r="O65" s="594"/>
      <c r="P65" s="594"/>
      <c r="Q65" s="594"/>
      <c r="R65" s="594"/>
      <c r="S65" s="594"/>
      <c r="T65" s="594"/>
      <c r="U65" s="594"/>
      <c r="V65" s="594"/>
      <c r="W65" s="594"/>
      <c r="X65" s="594"/>
      <c r="Y65" s="595"/>
    </row>
    <row r="66" spans="1:25" ht="9.9499999999999993" customHeight="1" x14ac:dyDescent="0.25">
      <c r="A66" s="549">
        <f t="shared" si="7"/>
        <v>20</v>
      </c>
      <c r="B66" s="548"/>
      <c r="C66" s="317"/>
      <c r="D66" s="317"/>
      <c r="E66" s="317"/>
      <c r="F66" s="317"/>
      <c r="G66" s="318"/>
      <c r="H66" s="590"/>
      <c r="I66" s="591"/>
      <c r="J66" s="591"/>
      <c r="K66" s="591"/>
      <c r="L66" s="591"/>
      <c r="M66" s="591"/>
      <c r="N66" s="591"/>
      <c r="O66" s="591"/>
      <c r="P66" s="591"/>
      <c r="Q66" s="591"/>
      <c r="R66" s="591"/>
      <c r="S66" s="591"/>
      <c r="T66" s="591"/>
      <c r="U66" s="591"/>
      <c r="V66" s="591"/>
      <c r="W66" s="591"/>
      <c r="X66" s="591"/>
      <c r="Y66" s="592"/>
    </row>
    <row r="67" spans="1:25" ht="20.100000000000001" customHeight="1" x14ac:dyDescent="0.25">
      <c r="A67" s="550"/>
      <c r="B67" s="548"/>
      <c r="C67" s="597" t="s">
        <v>271</v>
      </c>
      <c r="D67" s="598"/>
      <c r="E67" s="598"/>
      <c r="F67" s="598"/>
      <c r="G67" s="599"/>
      <c r="H67" s="597"/>
      <c r="I67" s="598"/>
      <c r="J67" s="598"/>
      <c r="K67" s="598"/>
      <c r="L67" s="598"/>
      <c r="M67" s="598"/>
      <c r="N67" s="598"/>
      <c r="O67" s="598"/>
      <c r="P67" s="598"/>
      <c r="Q67" s="598"/>
      <c r="R67" s="598"/>
      <c r="S67" s="598"/>
      <c r="T67" s="598"/>
      <c r="U67" s="598"/>
      <c r="V67" s="598"/>
      <c r="W67" s="598"/>
      <c r="X67" s="598"/>
      <c r="Y67" s="599"/>
    </row>
    <row r="68" spans="1:25" ht="9.9499999999999993" customHeight="1" x14ac:dyDescent="0.25">
      <c r="A68" s="551"/>
      <c r="B68" s="548"/>
      <c r="C68" s="319"/>
      <c r="D68" s="319"/>
      <c r="E68" s="319"/>
      <c r="F68" s="319"/>
      <c r="G68" s="320"/>
      <c r="H68" s="593"/>
      <c r="I68" s="594"/>
      <c r="J68" s="594"/>
      <c r="K68" s="594"/>
      <c r="L68" s="594"/>
      <c r="M68" s="594"/>
      <c r="N68" s="594"/>
      <c r="O68" s="594"/>
      <c r="P68" s="594"/>
      <c r="Q68" s="594"/>
      <c r="R68" s="594"/>
      <c r="S68" s="594"/>
      <c r="T68" s="594"/>
      <c r="U68" s="594"/>
      <c r="V68" s="594"/>
      <c r="W68" s="594"/>
      <c r="X68" s="594"/>
      <c r="Y68" s="595"/>
    </row>
    <row r="69" spans="1:25" ht="9.9499999999999993" customHeight="1" x14ac:dyDescent="0.25">
      <c r="A69" s="549">
        <f t="shared" ref="A69:A96" si="8">1+A66</f>
        <v>21</v>
      </c>
      <c r="B69" s="548"/>
      <c r="C69" s="317"/>
      <c r="D69" s="317"/>
      <c r="E69" s="317"/>
      <c r="F69" s="317"/>
      <c r="G69" s="318"/>
      <c r="H69" s="590"/>
      <c r="I69" s="591"/>
      <c r="J69" s="591"/>
      <c r="K69" s="591"/>
      <c r="L69" s="591"/>
      <c r="M69" s="591"/>
      <c r="N69" s="591"/>
      <c r="O69" s="591"/>
      <c r="P69" s="591"/>
      <c r="Q69" s="591"/>
      <c r="R69" s="591"/>
      <c r="S69" s="591"/>
      <c r="T69" s="591"/>
      <c r="U69" s="591"/>
      <c r="V69" s="591"/>
      <c r="W69" s="591"/>
      <c r="X69" s="591"/>
      <c r="Y69" s="592"/>
    </row>
    <row r="70" spans="1:25" ht="20.100000000000001" customHeight="1" x14ac:dyDescent="0.25">
      <c r="A70" s="550"/>
      <c r="B70" s="548"/>
      <c r="C70" s="597" t="s">
        <v>271</v>
      </c>
      <c r="D70" s="598"/>
      <c r="E70" s="598"/>
      <c r="F70" s="598"/>
      <c r="G70" s="599"/>
      <c r="H70" s="597"/>
      <c r="I70" s="598"/>
      <c r="J70" s="598"/>
      <c r="K70" s="598"/>
      <c r="L70" s="598"/>
      <c r="M70" s="598"/>
      <c r="N70" s="598"/>
      <c r="O70" s="598"/>
      <c r="P70" s="598"/>
      <c r="Q70" s="598"/>
      <c r="R70" s="598"/>
      <c r="S70" s="598"/>
      <c r="T70" s="598"/>
      <c r="U70" s="598"/>
      <c r="V70" s="598"/>
      <c r="W70" s="598"/>
      <c r="X70" s="598"/>
      <c r="Y70" s="599"/>
    </row>
    <row r="71" spans="1:25" ht="9.9499999999999993" customHeight="1" x14ac:dyDescent="0.25">
      <c r="A71" s="551"/>
      <c r="B71" s="548"/>
      <c r="C71" s="319"/>
      <c r="D71" s="319"/>
      <c r="E71" s="319"/>
      <c r="F71" s="319"/>
      <c r="G71" s="320"/>
      <c r="H71" s="593"/>
      <c r="I71" s="594"/>
      <c r="J71" s="594"/>
      <c r="K71" s="594"/>
      <c r="L71" s="594"/>
      <c r="M71" s="594"/>
      <c r="N71" s="594"/>
      <c r="O71" s="594"/>
      <c r="P71" s="594"/>
      <c r="Q71" s="594"/>
      <c r="R71" s="594"/>
      <c r="S71" s="594"/>
      <c r="T71" s="594"/>
      <c r="U71" s="594"/>
      <c r="V71" s="594"/>
      <c r="W71" s="594"/>
      <c r="X71" s="594"/>
      <c r="Y71" s="595"/>
    </row>
    <row r="72" spans="1:25" ht="9.9499999999999993" customHeight="1" x14ac:dyDescent="0.25">
      <c r="A72" s="549">
        <f t="shared" si="8"/>
        <v>22</v>
      </c>
      <c r="B72" s="548"/>
      <c r="C72" s="317"/>
      <c r="D72" s="317"/>
      <c r="E72" s="317"/>
      <c r="F72" s="317"/>
      <c r="G72" s="318"/>
      <c r="H72" s="590"/>
      <c r="I72" s="591"/>
      <c r="J72" s="591"/>
      <c r="K72" s="591"/>
      <c r="L72" s="591"/>
      <c r="M72" s="591"/>
      <c r="N72" s="591"/>
      <c r="O72" s="591"/>
      <c r="P72" s="591"/>
      <c r="Q72" s="591"/>
      <c r="R72" s="591"/>
      <c r="S72" s="591"/>
      <c r="T72" s="591"/>
      <c r="U72" s="591"/>
      <c r="V72" s="591"/>
      <c r="W72" s="591"/>
      <c r="X72" s="591"/>
      <c r="Y72" s="592"/>
    </row>
    <row r="73" spans="1:25" ht="20.100000000000001" customHeight="1" x14ac:dyDescent="0.25">
      <c r="A73" s="550"/>
      <c r="B73" s="548"/>
      <c r="C73" s="597" t="s">
        <v>271</v>
      </c>
      <c r="D73" s="598"/>
      <c r="E73" s="598"/>
      <c r="F73" s="598"/>
      <c r="G73" s="599"/>
      <c r="H73" s="597"/>
      <c r="I73" s="598"/>
      <c r="J73" s="598"/>
      <c r="K73" s="598"/>
      <c r="L73" s="598"/>
      <c r="M73" s="598"/>
      <c r="N73" s="598"/>
      <c r="O73" s="598"/>
      <c r="P73" s="598"/>
      <c r="Q73" s="598"/>
      <c r="R73" s="598"/>
      <c r="S73" s="598"/>
      <c r="T73" s="598"/>
      <c r="U73" s="598"/>
      <c r="V73" s="598"/>
      <c r="W73" s="598"/>
      <c r="X73" s="598"/>
      <c r="Y73" s="599"/>
    </row>
    <row r="74" spans="1:25" ht="9.9499999999999993" customHeight="1" x14ac:dyDescent="0.25">
      <c r="A74" s="551"/>
      <c r="B74" s="548"/>
      <c r="C74" s="319"/>
      <c r="D74" s="319"/>
      <c r="E74" s="319"/>
      <c r="F74" s="319"/>
      <c r="G74" s="320"/>
      <c r="H74" s="593"/>
      <c r="I74" s="594"/>
      <c r="J74" s="594"/>
      <c r="K74" s="594"/>
      <c r="L74" s="594"/>
      <c r="M74" s="594"/>
      <c r="N74" s="594"/>
      <c r="O74" s="594"/>
      <c r="P74" s="594"/>
      <c r="Q74" s="594"/>
      <c r="R74" s="594"/>
      <c r="S74" s="594"/>
      <c r="T74" s="594"/>
      <c r="U74" s="594"/>
      <c r="V74" s="594"/>
      <c r="W74" s="594"/>
      <c r="X74" s="594"/>
      <c r="Y74" s="595"/>
    </row>
    <row r="75" spans="1:25" ht="9.9499999999999993" customHeight="1" x14ac:dyDescent="0.25">
      <c r="A75" s="549">
        <f t="shared" si="8"/>
        <v>23</v>
      </c>
      <c r="B75" s="548"/>
      <c r="C75" s="317"/>
      <c r="D75" s="317"/>
      <c r="E75" s="317"/>
      <c r="F75" s="317"/>
      <c r="G75" s="318"/>
      <c r="H75" s="590"/>
      <c r="I75" s="591"/>
      <c r="J75" s="591"/>
      <c r="K75" s="591"/>
      <c r="L75" s="591"/>
      <c r="M75" s="591"/>
      <c r="N75" s="591"/>
      <c r="O75" s="591"/>
      <c r="P75" s="591"/>
      <c r="Q75" s="591"/>
      <c r="R75" s="591"/>
      <c r="S75" s="591"/>
      <c r="T75" s="591"/>
      <c r="U75" s="591"/>
      <c r="V75" s="591"/>
      <c r="W75" s="591"/>
      <c r="X75" s="591"/>
      <c r="Y75" s="592"/>
    </row>
    <row r="76" spans="1:25" ht="20.100000000000001" customHeight="1" x14ac:dyDescent="0.25">
      <c r="A76" s="550"/>
      <c r="B76" s="548"/>
      <c r="C76" s="597" t="s">
        <v>271</v>
      </c>
      <c r="D76" s="598"/>
      <c r="E76" s="598"/>
      <c r="F76" s="598"/>
      <c r="G76" s="599"/>
      <c r="H76" s="597"/>
      <c r="I76" s="598"/>
      <c r="J76" s="598"/>
      <c r="K76" s="598"/>
      <c r="L76" s="598"/>
      <c r="M76" s="598"/>
      <c r="N76" s="598"/>
      <c r="O76" s="598"/>
      <c r="P76" s="598"/>
      <c r="Q76" s="598"/>
      <c r="R76" s="598"/>
      <c r="S76" s="598"/>
      <c r="T76" s="598"/>
      <c r="U76" s="598"/>
      <c r="V76" s="598"/>
      <c r="W76" s="598"/>
      <c r="X76" s="598"/>
      <c r="Y76" s="599"/>
    </row>
    <row r="77" spans="1:25" ht="9.9499999999999993" customHeight="1" x14ac:dyDescent="0.25">
      <c r="A77" s="551"/>
      <c r="B77" s="548"/>
      <c r="C77" s="319"/>
      <c r="D77" s="319"/>
      <c r="E77" s="319"/>
      <c r="F77" s="319"/>
      <c r="G77" s="320"/>
      <c r="H77" s="593"/>
      <c r="I77" s="594"/>
      <c r="J77" s="594"/>
      <c r="K77" s="594"/>
      <c r="L77" s="594"/>
      <c r="M77" s="594"/>
      <c r="N77" s="594"/>
      <c r="O77" s="594"/>
      <c r="P77" s="594"/>
      <c r="Q77" s="594"/>
      <c r="R77" s="594"/>
      <c r="S77" s="594"/>
      <c r="T77" s="594"/>
      <c r="U77" s="594"/>
      <c r="V77" s="594"/>
      <c r="W77" s="594"/>
      <c r="X77" s="594"/>
      <c r="Y77" s="595"/>
    </row>
    <row r="78" spans="1:25" ht="9.9499999999999993" customHeight="1" x14ac:dyDescent="0.25">
      <c r="A78" s="549">
        <f t="shared" si="8"/>
        <v>24</v>
      </c>
      <c r="B78" s="548"/>
      <c r="C78" s="317"/>
      <c r="D78" s="317"/>
      <c r="E78" s="317"/>
      <c r="F78" s="317"/>
      <c r="G78" s="318"/>
      <c r="H78" s="590"/>
      <c r="I78" s="591"/>
      <c r="J78" s="591"/>
      <c r="K78" s="591"/>
      <c r="L78" s="591"/>
      <c r="M78" s="591"/>
      <c r="N78" s="591"/>
      <c r="O78" s="591"/>
      <c r="P78" s="591"/>
      <c r="Q78" s="591"/>
      <c r="R78" s="591"/>
      <c r="S78" s="591"/>
      <c r="T78" s="591"/>
      <c r="U78" s="591"/>
      <c r="V78" s="591"/>
      <c r="W78" s="591"/>
      <c r="X78" s="591"/>
      <c r="Y78" s="592"/>
    </row>
    <row r="79" spans="1:25" ht="20.100000000000001" customHeight="1" x14ac:dyDescent="0.25">
      <c r="A79" s="550"/>
      <c r="B79" s="548"/>
      <c r="C79" s="597" t="s">
        <v>271</v>
      </c>
      <c r="D79" s="598"/>
      <c r="E79" s="598"/>
      <c r="F79" s="598"/>
      <c r="G79" s="599"/>
      <c r="H79" s="597"/>
      <c r="I79" s="598"/>
      <c r="J79" s="598"/>
      <c r="K79" s="598"/>
      <c r="L79" s="598"/>
      <c r="M79" s="598"/>
      <c r="N79" s="598"/>
      <c r="O79" s="598"/>
      <c r="P79" s="598"/>
      <c r="Q79" s="598"/>
      <c r="R79" s="598"/>
      <c r="S79" s="598"/>
      <c r="T79" s="598"/>
      <c r="U79" s="598"/>
      <c r="V79" s="598"/>
      <c r="W79" s="598"/>
      <c r="X79" s="598"/>
      <c r="Y79" s="599"/>
    </row>
    <row r="80" spans="1:25" ht="9.9499999999999993" customHeight="1" x14ac:dyDescent="0.25">
      <c r="A80" s="551"/>
      <c r="B80" s="548"/>
      <c r="C80" s="319"/>
      <c r="D80" s="319"/>
      <c r="E80" s="319"/>
      <c r="F80" s="319"/>
      <c r="G80" s="320"/>
      <c r="H80" s="593"/>
      <c r="I80" s="594"/>
      <c r="J80" s="594"/>
      <c r="K80" s="594"/>
      <c r="L80" s="594"/>
      <c r="M80" s="594"/>
      <c r="N80" s="594"/>
      <c r="O80" s="594"/>
      <c r="P80" s="594"/>
      <c r="Q80" s="594"/>
      <c r="R80" s="594"/>
      <c r="S80" s="594"/>
      <c r="T80" s="594"/>
      <c r="U80" s="594"/>
      <c r="V80" s="594"/>
      <c r="W80" s="594"/>
      <c r="X80" s="594"/>
      <c r="Y80" s="595"/>
    </row>
    <row r="81" spans="1:25" ht="9.9499999999999993" customHeight="1" x14ac:dyDescent="0.25">
      <c r="A81" s="549">
        <f t="shared" si="8"/>
        <v>25</v>
      </c>
      <c r="B81" s="548"/>
      <c r="C81" s="317"/>
      <c r="D81" s="317"/>
      <c r="E81" s="317"/>
      <c r="F81" s="317"/>
      <c r="G81" s="318"/>
      <c r="H81" s="590"/>
      <c r="I81" s="591"/>
      <c r="J81" s="591"/>
      <c r="K81" s="591"/>
      <c r="L81" s="591"/>
      <c r="M81" s="591"/>
      <c r="N81" s="591"/>
      <c r="O81" s="591"/>
      <c r="P81" s="591"/>
      <c r="Q81" s="591"/>
      <c r="R81" s="591"/>
      <c r="S81" s="591"/>
      <c r="T81" s="591"/>
      <c r="U81" s="591"/>
      <c r="V81" s="591"/>
      <c r="W81" s="591"/>
      <c r="X81" s="591"/>
      <c r="Y81" s="592"/>
    </row>
    <row r="82" spans="1:25" ht="20.100000000000001" customHeight="1" x14ac:dyDescent="0.25">
      <c r="A82" s="550"/>
      <c r="B82" s="548"/>
      <c r="C82" s="597" t="s">
        <v>271</v>
      </c>
      <c r="D82" s="598"/>
      <c r="E82" s="598"/>
      <c r="F82" s="598"/>
      <c r="G82" s="599"/>
      <c r="H82" s="597"/>
      <c r="I82" s="598"/>
      <c r="J82" s="598"/>
      <c r="K82" s="598"/>
      <c r="L82" s="598"/>
      <c r="M82" s="598"/>
      <c r="N82" s="598"/>
      <c r="O82" s="598"/>
      <c r="P82" s="598"/>
      <c r="Q82" s="598"/>
      <c r="R82" s="598"/>
      <c r="S82" s="598"/>
      <c r="T82" s="598"/>
      <c r="U82" s="598"/>
      <c r="V82" s="598"/>
      <c r="W82" s="598"/>
      <c r="X82" s="598"/>
      <c r="Y82" s="599"/>
    </row>
    <row r="83" spans="1:25" ht="9.9499999999999993" customHeight="1" x14ac:dyDescent="0.25">
      <c r="A83" s="551"/>
      <c r="B83" s="548"/>
      <c r="C83" s="319"/>
      <c r="D83" s="319"/>
      <c r="E83" s="319"/>
      <c r="F83" s="319"/>
      <c r="G83" s="320"/>
      <c r="H83" s="593"/>
      <c r="I83" s="594"/>
      <c r="J83" s="594"/>
      <c r="K83" s="594"/>
      <c r="L83" s="594"/>
      <c r="M83" s="594"/>
      <c r="N83" s="594"/>
      <c r="O83" s="594"/>
      <c r="P83" s="594"/>
      <c r="Q83" s="594"/>
      <c r="R83" s="594"/>
      <c r="S83" s="594"/>
      <c r="T83" s="594"/>
      <c r="U83" s="594"/>
      <c r="V83" s="594"/>
      <c r="W83" s="594"/>
      <c r="X83" s="594"/>
      <c r="Y83" s="595"/>
    </row>
    <row r="84" spans="1:25" ht="9.9499999999999993" customHeight="1" x14ac:dyDescent="0.25">
      <c r="A84" s="549">
        <f t="shared" si="8"/>
        <v>26</v>
      </c>
      <c r="B84" s="548"/>
      <c r="C84" s="317"/>
      <c r="D84" s="317"/>
      <c r="E84" s="317"/>
      <c r="F84" s="317"/>
      <c r="G84" s="318"/>
      <c r="H84" s="590"/>
      <c r="I84" s="591"/>
      <c r="J84" s="591"/>
      <c r="K84" s="591"/>
      <c r="L84" s="591"/>
      <c r="M84" s="591"/>
      <c r="N84" s="591"/>
      <c r="O84" s="591"/>
      <c r="P84" s="591"/>
      <c r="Q84" s="591"/>
      <c r="R84" s="591"/>
      <c r="S84" s="591"/>
      <c r="T84" s="591"/>
      <c r="U84" s="591"/>
      <c r="V84" s="591"/>
      <c r="W84" s="591"/>
      <c r="X84" s="591"/>
      <c r="Y84" s="592"/>
    </row>
    <row r="85" spans="1:25" ht="20.100000000000001" customHeight="1" x14ac:dyDescent="0.25">
      <c r="A85" s="550"/>
      <c r="B85" s="548"/>
      <c r="C85" s="597" t="s">
        <v>271</v>
      </c>
      <c r="D85" s="598"/>
      <c r="E85" s="598"/>
      <c r="F85" s="598"/>
      <c r="G85" s="599"/>
      <c r="H85" s="597"/>
      <c r="I85" s="598"/>
      <c r="J85" s="598"/>
      <c r="K85" s="598"/>
      <c r="L85" s="598"/>
      <c r="M85" s="598"/>
      <c r="N85" s="598"/>
      <c r="O85" s="598"/>
      <c r="P85" s="598"/>
      <c r="Q85" s="598"/>
      <c r="R85" s="598"/>
      <c r="S85" s="598"/>
      <c r="T85" s="598"/>
      <c r="U85" s="598"/>
      <c r="V85" s="598"/>
      <c r="W85" s="598"/>
      <c r="X85" s="598"/>
      <c r="Y85" s="599"/>
    </row>
    <row r="86" spans="1:25" ht="9.9499999999999993" customHeight="1" x14ac:dyDescent="0.25">
      <c r="A86" s="551"/>
      <c r="B86" s="548"/>
      <c r="C86" s="319"/>
      <c r="D86" s="319"/>
      <c r="E86" s="319"/>
      <c r="F86" s="319"/>
      <c r="G86" s="320"/>
      <c r="H86" s="593"/>
      <c r="I86" s="594"/>
      <c r="J86" s="594"/>
      <c r="K86" s="594"/>
      <c r="L86" s="594"/>
      <c r="M86" s="594"/>
      <c r="N86" s="594"/>
      <c r="O86" s="594"/>
      <c r="P86" s="594"/>
      <c r="Q86" s="594"/>
      <c r="R86" s="594"/>
      <c r="S86" s="594"/>
      <c r="T86" s="594"/>
      <c r="U86" s="594"/>
      <c r="V86" s="594"/>
      <c r="W86" s="594"/>
      <c r="X86" s="594"/>
      <c r="Y86" s="595"/>
    </row>
    <row r="87" spans="1:25" ht="9.9499999999999993" customHeight="1" x14ac:dyDescent="0.25">
      <c r="A87" s="549">
        <f t="shared" si="8"/>
        <v>27</v>
      </c>
      <c r="B87" s="548"/>
      <c r="C87" s="317"/>
      <c r="D87" s="317"/>
      <c r="E87" s="317"/>
      <c r="F87" s="317"/>
      <c r="G87" s="318"/>
      <c r="H87" s="590"/>
      <c r="I87" s="591"/>
      <c r="J87" s="591"/>
      <c r="K87" s="591"/>
      <c r="L87" s="591"/>
      <c r="M87" s="591"/>
      <c r="N87" s="591"/>
      <c r="O87" s="591"/>
      <c r="P87" s="591"/>
      <c r="Q87" s="591"/>
      <c r="R87" s="591"/>
      <c r="S87" s="591"/>
      <c r="T87" s="591"/>
      <c r="U87" s="591"/>
      <c r="V87" s="591"/>
      <c r="W87" s="591"/>
      <c r="X87" s="591"/>
      <c r="Y87" s="592"/>
    </row>
    <row r="88" spans="1:25" ht="20.100000000000001" customHeight="1" x14ac:dyDescent="0.25">
      <c r="A88" s="550"/>
      <c r="B88" s="548"/>
      <c r="C88" s="597" t="s">
        <v>271</v>
      </c>
      <c r="D88" s="598"/>
      <c r="E88" s="598"/>
      <c r="F88" s="598"/>
      <c r="G88" s="599"/>
      <c r="H88" s="597"/>
      <c r="I88" s="598"/>
      <c r="J88" s="598"/>
      <c r="K88" s="598"/>
      <c r="L88" s="598"/>
      <c r="M88" s="598"/>
      <c r="N88" s="598"/>
      <c r="O88" s="598"/>
      <c r="P88" s="598"/>
      <c r="Q88" s="598"/>
      <c r="R88" s="598"/>
      <c r="S88" s="598"/>
      <c r="T88" s="598"/>
      <c r="U88" s="598"/>
      <c r="V88" s="598"/>
      <c r="W88" s="598"/>
      <c r="X88" s="598"/>
      <c r="Y88" s="599"/>
    </row>
    <row r="89" spans="1:25" ht="9.9499999999999993" customHeight="1" x14ac:dyDescent="0.25">
      <c r="A89" s="551"/>
      <c r="B89" s="548"/>
      <c r="C89" s="319"/>
      <c r="D89" s="319"/>
      <c r="E89" s="319"/>
      <c r="F89" s="319"/>
      <c r="G89" s="320"/>
      <c r="H89" s="593"/>
      <c r="I89" s="594"/>
      <c r="J89" s="594"/>
      <c r="K89" s="594"/>
      <c r="L89" s="594"/>
      <c r="M89" s="594"/>
      <c r="N89" s="594"/>
      <c r="O89" s="594"/>
      <c r="P89" s="594"/>
      <c r="Q89" s="594"/>
      <c r="R89" s="594"/>
      <c r="S89" s="594"/>
      <c r="T89" s="594"/>
      <c r="U89" s="594"/>
      <c r="V89" s="594"/>
      <c r="W89" s="594"/>
      <c r="X89" s="594"/>
      <c r="Y89" s="595"/>
    </row>
    <row r="90" spans="1:25" ht="9.9499999999999993" customHeight="1" x14ac:dyDescent="0.25">
      <c r="A90" s="549">
        <f t="shared" si="8"/>
        <v>28</v>
      </c>
      <c r="B90" s="548"/>
      <c r="C90" s="317"/>
      <c r="D90" s="317"/>
      <c r="E90" s="317"/>
      <c r="F90" s="317"/>
      <c r="G90" s="318"/>
      <c r="H90" s="590"/>
      <c r="I90" s="591"/>
      <c r="J90" s="591"/>
      <c r="K90" s="591"/>
      <c r="L90" s="591"/>
      <c r="M90" s="591"/>
      <c r="N90" s="591"/>
      <c r="O90" s="591"/>
      <c r="P90" s="591"/>
      <c r="Q90" s="591"/>
      <c r="R90" s="591"/>
      <c r="S90" s="591"/>
      <c r="T90" s="591"/>
      <c r="U90" s="591"/>
      <c r="V90" s="591"/>
      <c r="W90" s="591"/>
      <c r="X90" s="591"/>
      <c r="Y90" s="592"/>
    </row>
    <row r="91" spans="1:25" ht="20.100000000000001" customHeight="1" x14ac:dyDescent="0.25">
      <c r="A91" s="550"/>
      <c r="B91" s="548"/>
      <c r="C91" s="597" t="s">
        <v>271</v>
      </c>
      <c r="D91" s="598"/>
      <c r="E91" s="598"/>
      <c r="F91" s="598"/>
      <c r="G91" s="599"/>
      <c r="H91" s="597"/>
      <c r="I91" s="598"/>
      <c r="J91" s="598"/>
      <c r="K91" s="598"/>
      <c r="L91" s="598"/>
      <c r="M91" s="598"/>
      <c r="N91" s="598"/>
      <c r="O91" s="598"/>
      <c r="P91" s="598"/>
      <c r="Q91" s="598"/>
      <c r="R91" s="598"/>
      <c r="S91" s="598"/>
      <c r="T91" s="598"/>
      <c r="U91" s="598"/>
      <c r="V91" s="598"/>
      <c r="W91" s="598"/>
      <c r="X91" s="598"/>
      <c r="Y91" s="599"/>
    </row>
    <row r="92" spans="1:25" ht="9.9499999999999993" customHeight="1" x14ac:dyDescent="0.25">
      <c r="A92" s="551"/>
      <c r="B92" s="548"/>
      <c r="C92" s="319"/>
      <c r="D92" s="319"/>
      <c r="E92" s="319"/>
      <c r="F92" s="319"/>
      <c r="G92" s="320"/>
      <c r="H92" s="593"/>
      <c r="I92" s="594"/>
      <c r="J92" s="594"/>
      <c r="K92" s="594"/>
      <c r="L92" s="594"/>
      <c r="M92" s="594"/>
      <c r="N92" s="594"/>
      <c r="O92" s="594"/>
      <c r="P92" s="594"/>
      <c r="Q92" s="594"/>
      <c r="R92" s="594"/>
      <c r="S92" s="594"/>
      <c r="T92" s="594"/>
      <c r="U92" s="594"/>
      <c r="V92" s="594"/>
      <c r="W92" s="594"/>
      <c r="X92" s="594"/>
      <c r="Y92" s="595"/>
    </row>
    <row r="93" spans="1:25" ht="9.9499999999999993" customHeight="1" x14ac:dyDescent="0.25">
      <c r="A93" s="549">
        <f t="shared" si="8"/>
        <v>29</v>
      </c>
      <c r="B93" s="548"/>
      <c r="C93" s="317"/>
      <c r="D93" s="317"/>
      <c r="E93" s="317"/>
      <c r="F93" s="317"/>
      <c r="G93" s="318"/>
      <c r="H93" s="590"/>
      <c r="I93" s="591"/>
      <c r="J93" s="591"/>
      <c r="K93" s="591"/>
      <c r="L93" s="591"/>
      <c r="M93" s="591"/>
      <c r="N93" s="591"/>
      <c r="O93" s="591"/>
      <c r="P93" s="591"/>
      <c r="Q93" s="591"/>
      <c r="R93" s="591"/>
      <c r="S93" s="591"/>
      <c r="T93" s="591"/>
      <c r="U93" s="591"/>
      <c r="V93" s="591"/>
      <c r="W93" s="591"/>
      <c r="X93" s="591"/>
      <c r="Y93" s="592"/>
    </row>
    <row r="94" spans="1:25" ht="20.100000000000001" customHeight="1" x14ac:dyDescent="0.25">
      <c r="A94" s="550"/>
      <c r="B94" s="548"/>
      <c r="C94" s="597" t="s">
        <v>271</v>
      </c>
      <c r="D94" s="598"/>
      <c r="E94" s="598"/>
      <c r="F94" s="598"/>
      <c r="G94" s="599"/>
      <c r="H94" s="597"/>
      <c r="I94" s="598"/>
      <c r="J94" s="598"/>
      <c r="K94" s="598"/>
      <c r="L94" s="598"/>
      <c r="M94" s="598"/>
      <c r="N94" s="598"/>
      <c r="O94" s="598"/>
      <c r="P94" s="598"/>
      <c r="Q94" s="598"/>
      <c r="R94" s="598"/>
      <c r="S94" s="598"/>
      <c r="T94" s="598"/>
      <c r="U94" s="598"/>
      <c r="V94" s="598"/>
      <c r="W94" s="598"/>
      <c r="X94" s="598"/>
      <c r="Y94" s="599"/>
    </row>
    <row r="95" spans="1:25" ht="9.9499999999999993" customHeight="1" x14ac:dyDescent="0.25">
      <c r="A95" s="551"/>
      <c r="B95" s="548"/>
      <c r="C95" s="319"/>
      <c r="D95" s="319"/>
      <c r="E95" s="319"/>
      <c r="F95" s="319"/>
      <c r="G95" s="320"/>
      <c r="H95" s="593"/>
      <c r="I95" s="594"/>
      <c r="J95" s="594"/>
      <c r="K95" s="594"/>
      <c r="L95" s="594"/>
      <c r="M95" s="594"/>
      <c r="N95" s="594"/>
      <c r="O95" s="594"/>
      <c r="P95" s="594"/>
      <c r="Q95" s="594"/>
      <c r="R95" s="594"/>
      <c r="S95" s="594"/>
      <c r="T95" s="594"/>
      <c r="U95" s="594"/>
      <c r="V95" s="594"/>
      <c r="W95" s="594"/>
      <c r="X95" s="594"/>
      <c r="Y95" s="595"/>
    </row>
    <row r="96" spans="1:25" ht="9.9499999999999993" customHeight="1" x14ac:dyDescent="0.25">
      <c r="A96" s="549">
        <f t="shared" si="8"/>
        <v>30</v>
      </c>
      <c r="B96" s="548"/>
      <c r="C96" s="317"/>
      <c r="D96" s="317"/>
      <c r="E96" s="317"/>
      <c r="F96" s="317"/>
      <c r="G96" s="318"/>
      <c r="H96" s="590"/>
      <c r="I96" s="591"/>
      <c r="J96" s="591"/>
      <c r="K96" s="591"/>
      <c r="L96" s="591"/>
      <c r="M96" s="591"/>
      <c r="N96" s="591"/>
      <c r="O96" s="591"/>
      <c r="P96" s="591"/>
      <c r="Q96" s="591"/>
      <c r="R96" s="591"/>
      <c r="S96" s="591"/>
      <c r="T96" s="591"/>
      <c r="U96" s="591"/>
      <c r="V96" s="591"/>
      <c r="W96" s="591"/>
      <c r="X96" s="591"/>
      <c r="Y96" s="592"/>
    </row>
    <row r="97" spans="1:25" ht="20.100000000000001" customHeight="1" x14ac:dyDescent="0.25">
      <c r="A97" s="550"/>
      <c r="B97" s="548"/>
      <c r="C97" s="597" t="s">
        <v>271</v>
      </c>
      <c r="D97" s="598"/>
      <c r="E97" s="598"/>
      <c r="F97" s="598"/>
      <c r="G97" s="599"/>
      <c r="H97" s="597"/>
      <c r="I97" s="598"/>
      <c r="J97" s="598"/>
      <c r="K97" s="598"/>
      <c r="L97" s="598"/>
      <c r="M97" s="598"/>
      <c r="N97" s="598"/>
      <c r="O97" s="598"/>
      <c r="P97" s="598"/>
      <c r="Q97" s="598"/>
      <c r="R97" s="598"/>
      <c r="S97" s="598"/>
      <c r="T97" s="598"/>
      <c r="U97" s="598"/>
      <c r="V97" s="598"/>
      <c r="W97" s="598"/>
      <c r="X97" s="598"/>
      <c r="Y97" s="599"/>
    </row>
    <row r="98" spans="1:25" ht="9.9499999999999993" customHeight="1" x14ac:dyDescent="0.25">
      <c r="A98" s="551"/>
      <c r="B98" s="548"/>
      <c r="C98" s="319"/>
      <c r="D98" s="319"/>
      <c r="E98" s="319"/>
      <c r="F98" s="319"/>
      <c r="G98" s="320"/>
      <c r="H98" s="593"/>
      <c r="I98" s="594"/>
      <c r="J98" s="594"/>
      <c r="K98" s="594"/>
      <c r="L98" s="594"/>
      <c r="M98" s="594"/>
      <c r="N98" s="594"/>
      <c r="O98" s="594"/>
      <c r="P98" s="594"/>
      <c r="Q98" s="594"/>
      <c r="R98" s="594"/>
      <c r="S98" s="594"/>
      <c r="T98" s="594"/>
      <c r="U98" s="594"/>
      <c r="V98" s="594"/>
      <c r="W98" s="594"/>
      <c r="X98" s="594"/>
      <c r="Y98" s="595"/>
    </row>
    <row r="99" spans="1:25" ht="9.9499999999999993" customHeight="1" x14ac:dyDescent="0.25">
      <c r="A99" s="549">
        <f t="shared" ref="A99:A126" si="9">1+A96</f>
        <v>31</v>
      </c>
      <c r="B99" s="548"/>
      <c r="C99" s="317"/>
      <c r="D99" s="317"/>
      <c r="E99" s="317"/>
      <c r="F99" s="317"/>
      <c r="G99" s="318"/>
      <c r="H99" s="590"/>
      <c r="I99" s="591"/>
      <c r="J99" s="591"/>
      <c r="K99" s="591"/>
      <c r="L99" s="591"/>
      <c r="M99" s="591"/>
      <c r="N99" s="591"/>
      <c r="O99" s="591"/>
      <c r="P99" s="591"/>
      <c r="Q99" s="591"/>
      <c r="R99" s="591"/>
      <c r="S99" s="591"/>
      <c r="T99" s="591"/>
      <c r="U99" s="591"/>
      <c r="V99" s="591"/>
      <c r="W99" s="591"/>
      <c r="X99" s="591"/>
      <c r="Y99" s="592"/>
    </row>
    <row r="100" spans="1:25" ht="20.100000000000001" customHeight="1" x14ac:dyDescent="0.25">
      <c r="A100" s="550"/>
      <c r="B100" s="548"/>
      <c r="C100" s="597" t="s">
        <v>271</v>
      </c>
      <c r="D100" s="598"/>
      <c r="E100" s="598"/>
      <c r="F100" s="598"/>
      <c r="G100" s="599"/>
      <c r="H100" s="597"/>
      <c r="I100" s="598"/>
      <c r="J100" s="598"/>
      <c r="K100" s="598"/>
      <c r="L100" s="598"/>
      <c r="M100" s="598"/>
      <c r="N100" s="598"/>
      <c r="O100" s="598"/>
      <c r="P100" s="598"/>
      <c r="Q100" s="598"/>
      <c r="R100" s="598"/>
      <c r="S100" s="598"/>
      <c r="T100" s="598"/>
      <c r="U100" s="598"/>
      <c r="V100" s="598"/>
      <c r="W100" s="598"/>
      <c r="X100" s="598"/>
      <c r="Y100" s="599"/>
    </row>
    <row r="101" spans="1:25" ht="9.9499999999999993" customHeight="1" x14ac:dyDescent="0.25">
      <c r="A101" s="551"/>
      <c r="B101" s="548"/>
      <c r="C101" s="319"/>
      <c r="D101" s="319"/>
      <c r="E101" s="319"/>
      <c r="F101" s="319"/>
      <c r="G101" s="320"/>
      <c r="H101" s="593"/>
      <c r="I101" s="594"/>
      <c r="J101" s="594"/>
      <c r="K101" s="594"/>
      <c r="L101" s="594"/>
      <c r="M101" s="594"/>
      <c r="N101" s="594"/>
      <c r="O101" s="594"/>
      <c r="P101" s="594"/>
      <c r="Q101" s="594"/>
      <c r="R101" s="594"/>
      <c r="S101" s="594"/>
      <c r="T101" s="594"/>
      <c r="U101" s="594"/>
      <c r="V101" s="594"/>
      <c r="W101" s="594"/>
      <c r="X101" s="594"/>
      <c r="Y101" s="595"/>
    </row>
    <row r="102" spans="1:25" ht="9.9499999999999993" customHeight="1" x14ac:dyDescent="0.25">
      <c r="A102" s="549">
        <f t="shared" si="9"/>
        <v>32</v>
      </c>
      <c r="B102" s="548"/>
      <c r="C102" s="317"/>
      <c r="D102" s="317"/>
      <c r="E102" s="317"/>
      <c r="F102" s="317"/>
      <c r="G102" s="318"/>
      <c r="H102" s="590"/>
      <c r="I102" s="591"/>
      <c r="J102" s="591"/>
      <c r="K102" s="591"/>
      <c r="L102" s="591"/>
      <c r="M102" s="591"/>
      <c r="N102" s="591"/>
      <c r="O102" s="591"/>
      <c r="P102" s="591"/>
      <c r="Q102" s="591"/>
      <c r="R102" s="591"/>
      <c r="S102" s="591"/>
      <c r="T102" s="591"/>
      <c r="U102" s="591"/>
      <c r="V102" s="591"/>
      <c r="W102" s="591"/>
      <c r="X102" s="591"/>
      <c r="Y102" s="592"/>
    </row>
    <row r="103" spans="1:25" ht="20.100000000000001" customHeight="1" x14ac:dyDescent="0.25">
      <c r="A103" s="550"/>
      <c r="B103" s="548"/>
      <c r="C103" s="597" t="s">
        <v>271</v>
      </c>
      <c r="D103" s="598"/>
      <c r="E103" s="598"/>
      <c r="F103" s="598"/>
      <c r="G103" s="599"/>
      <c r="H103" s="597"/>
      <c r="I103" s="598"/>
      <c r="J103" s="598"/>
      <c r="K103" s="598"/>
      <c r="L103" s="598"/>
      <c r="M103" s="598"/>
      <c r="N103" s="598"/>
      <c r="O103" s="598"/>
      <c r="P103" s="598"/>
      <c r="Q103" s="598"/>
      <c r="R103" s="598"/>
      <c r="S103" s="598"/>
      <c r="T103" s="598"/>
      <c r="U103" s="598"/>
      <c r="V103" s="598"/>
      <c r="W103" s="598"/>
      <c r="X103" s="598"/>
      <c r="Y103" s="599"/>
    </row>
    <row r="104" spans="1:25" ht="9.9499999999999993" customHeight="1" x14ac:dyDescent="0.25">
      <c r="A104" s="551"/>
      <c r="B104" s="548"/>
      <c r="C104" s="319"/>
      <c r="D104" s="319"/>
      <c r="E104" s="319"/>
      <c r="F104" s="319"/>
      <c r="G104" s="320"/>
      <c r="H104" s="593"/>
      <c r="I104" s="594"/>
      <c r="J104" s="594"/>
      <c r="K104" s="594"/>
      <c r="L104" s="594"/>
      <c r="M104" s="594"/>
      <c r="N104" s="594"/>
      <c r="O104" s="594"/>
      <c r="P104" s="594"/>
      <c r="Q104" s="594"/>
      <c r="R104" s="594"/>
      <c r="S104" s="594"/>
      <c r="T104" s="594"/>
      <c r="U104" s="594"/>
      <c r="V104" s="594"/>
      <c r="W104" s="594"/>
      <c r="X104" s="594"/>
      <c r="Y104" s="595"/>
    </row>
    <row r="105" spans="1:25" ht="9.9499999999999993" customHeight="1" x14ac:dyDescent="0.25">
      <c r="A105" s="549">
        <f t="shared" si="9"/>
        <v>33</v>
      </c>
      <c r="B105" s="548"/>
      <c r="C105" s="317"/>
      <c r="D105" s="317"/>
      <c r="E105" s="317"/>
      <c r="F105" s="317"/>
      <c r="G105" s="318"/>
      <c r="H105" s="590"/>
      <c r="I105" s="591"/>
      <c r="J105" s="591"/>
      <c r="K105" s="591"/>
      <c r="L105" s="591"/>
      <c r="M105" s="591"/>
      <c r="N105" s="591"/>
      <c r="O105" s="591"/>
      <c r="P105" s="591"/>
      <c r="Q105" s="591"/>
      <c r="R105" s="591"/>
      <c r="S105" s="591"/>
      <c r="T105" s="591"/>
      <c r="U105" s="591"/>
      <c r="V105" s="591"/>
      <c r="W105" s="591"/>
      <c r="X105" s="591"/>
      <c r="Y105" s="592"/>
    </row>
    <row r="106" spans="1:25" ht="20.100000000000001" customHeight="1" x14ac:dyDescent="0.25">
      <c r="A106" s="550"/>
      <c r="B106" s="548"/>
      <c r="C106" s="597" t="s">
        <v>271</v>
      </c>
      <c r="D106" s="598"/>
      <c r="E106" s="598"/>
      <c r="F106" s="598"/>
      <c r="G106" s="599"/>
      <c r="H106" s="597"/>
      <c r="I106" s="598"/>
      <c r="J106" s="598"/>
      <c r="K106" s="598"/>
      <c r="L106" s="598"/>
      <c r="M106" s="598"/>
      <c r="N106" s="598"/>
      <c r="O106" s="598"/>
      <c r="P106" s="598"/>
      <c r="Q106" s="598"/>
      <c r="R106" s="598"/>
      <c r="S106" s="598"/>
      <c r="T106" s="598"/>
      <c r="U106" s="598"/>
      <c r="V106" s="598"/>
      <c r="W106" s="598"/>
      <c r="X106" s="598"/>
      <c r="Y106" s="599"/>
    </row>
    <row r="107" spans="1:25" ht="9.9499999999999993" customHeight="1" x14ac:dyDescent="0.25">
      <c r="A107" s="551"/>
      <c r="B107" s="548"/>
      <c r="C107" s="319"/>
      <c r="D107" s="319"/>
      <c r="E107" s="319"/>
      <c r="F107" s="319"/>
      <c r="G107" s="320"/>
      <c r="H107" s="593"/>
      <c r="I107" s="594"/>
      <c r="J107" s="594"/>
      <c r="K107" s="594"/>
      <c r="L107" s="594"/>
      <c r="M107" s="594"/>
      <c r="N107" s="594"/>
      <c r="O107" s="594"/>
      <c r="P107" s="594"/>
      <c r="Q107" s="594"/>
      <c r="R107" s="594"/>
      <c r="S107" s="594"/>
      <c r="T107" s="594"/>
      <c r="U107" s="594"/>
      <c r="V107" s="594"/>
      <c r="W107" s="594"/>
      <c r="X107" s="594"/>
      <c r="Y107" s="595"/>
    </row>
    <row r="108" spans="1:25" ht="9.9499999999999993" customHeight="1" x14ac:dyDescent="0.25">
      <c r="A108" s="549">
        <f t="shared" si="9"/>
        <v>34</v>
      </c>
      <c r="B108" s="548"/>
      <c r="C108" s="317"/>
      <c r="D108" s="317"/>
      <c r="E108" s="317"/>
      <c r="F108" s="317"/>
      <c r="G108" s="318"/>
      <c r="H108" s="590"/>
      <c r="I108" s="591"/>
      <c r="J108" s="591"/>
      <c r="K108" s="591"/>
      <c r="L108" s="591"/>
      <c r="M108" s="591"/>
      <c r="N108" s="591"/>
      <c r="O108" s="591"/>
      <c r="P108" s="591"/>
      <c r="Q108" s="591"/>
      <c r="R108" s="591"/>
      <c r="S108" s="591"/>
      <c r="T108" s="591"/>
      <c r="U108" s="591"/>
      <c r="V108" s="591"/>
      <c r="W108" s="591"/>
      <c r="X108" s="591"/>
      <c r="Y108" s="592"/>
    </row>
    <row r="109" spans="1:25" ht="20.100000000000001" customHeight="1" x14ac:dyDescent="0.25">
      <c r="A109" s="550"/>
      <c r="B109" s="548"/>
      <c r="C109" s="597" t="s">
        <v>271</v>
      </c>
      <c r="D109" s="598"/>
      <c r="E109" s="598"/>
      <c r="F109" s="598"/>
      <c r="G109" s="599"/>
      <c r="H109" s="597"/>
      <c r="I109" s="598"/>
      <c r="J109" s="598"/>
      <c r="K109" s="598"/>
      <c r="L109" s="598"/>
      <c r="M109" s="598"/>
      <c r="N109" s="598"/>
      <c r="O109" s="598"/>
      <c r="P109" s="598"/>
      <c r="Q109" s="598"/>
      <c r="R109" s="598"/>
      <c r="S109" s="598"/>
      <c r="T109" s="598"/>
      <c r="U109" s="598"/>
      <c r="V109" s="598"/>
      <c r="W109" s="598"/>
      <c r="X109" s="598"/>
      <c r="Y109" s="599"/>
    </row>
    <row r="110" spans="1:25" ht="9.9499999999999993" customHeight="1" x14ac:dyDescent="0.25">
      <c r="A110" s="551"/>
      <c r="B110" s="548"/>
      <c r="C110" s="319"/>
      <c r="D110" s="319"/>
      <c r="E110" s="319"/>
      <c r="F110" s="319"/>
      <c r="G110" s="320"/>
      <c r="H110" s="593"/>
      <c r="I110" s="594"/>
      <c r="J110" s="594"/>
      <c r="K110" s="594"/>
      <c r="L110" s="594"/>
      <c r="M110" s="594"/>
      <c r="N110" s="594"/>
      <c r="O110" s="594"/>
      <c r="P110" s="594"/>
      <c r="Q110" s="594"/>
      <c r="R110" s="594"/>
      <c r="S110" s="594"/>
      <c r="T110" s="594"/>
      <c r="U110" s="594"/>
      <c r="V110" s="594"/>
      <c r="W110" s="594"/>
      <c r="X110" s="594"/>
      <c r="Y110" s="595"/>
    </row>
    <row r="111" spans="1:25" ht="9.9499999999999993" customHeight="1" x14ac:dyDescent="0.25">
      <c r="A111" s="549">
        <f t="shared" si="9"/>
        <v>35</v>
      </c>
      <c r="B111" s="548"/>
      <c r="C111" s="317"/>
      <c r="D111" s="317"/>
      <c r="E111" s="317"/>
      <c r="F111" s="317"/>
      <c r="G111" s="318"/>
      <c r="H111" s="590"/>
      <c r="I111" s="591"/>
      <c r="J111" s="591"/>
      <c r="K111" s="591"/>
      <c r="L111" s="591"/>
      <c r="M111" s="591"/>
      <c r="N111" s="591"/>
      <c r="O111" s="591"/>
      <c r="P111" s="591"/>
      <c r="Q111" s="591"/>
      <c r="R111" s="591"/>
      <c r="S111" s="591"/>
      <c r="T111" s="591"/>
      <c r="U111" s="591"/>
      <c r="V111" s="591"/>
      <c r="W111" s="591"/>
      <c r="X111" s="591"/>
      <c r="Y111" s="592"/>
    </row>
    <row r="112" spans="1:25" ht="20.100000000000001" customHeight="1" x14ac:dyDescent="0.25">
      <c r="A112" s="550"/>
      <c r="B112" s="548"/>
      <c r="C112" s="597" t="s">
        <v>271</v>
      </c>
      <c r="D112" s="598"/>
      <c r="E112" s="598"/>
      <c r="F112" s="598"/>
      <c r="G112" s="599"/>
      <c r="H112" s="597"/>
      <c r="I112" s="598"/>
      <c r="J112" s="598"/>
      <c r="K112" s="598"/>
      <c r="L112" s="598"/>
      <c r="M112" s="598"/>
      <c r="N112" s="598"/>
      <c r="O112" s="598"/>
      <c r="P112" s="598"/>
      <c r="Q112" s="598"/>
      <c r="R112" s="598"/>
      <c r="S112" s="598"/>
      <c r="T112" s="598"/>
      <c r="U112" s="598"/>
      <c r="V112" s="598"/>
      <c r="W112" s="598"/>
      <c r="X112" s="598"/>
      <c r="Y112" s="599"/>
    </row>
    <row r="113" spans="1:25" ht="9.9499999999999993" customHeight="1" x14ac:dyDescent="0.25">
      <c r="A113" s="551"/>
      <c r="B113" s="548"/>
      <c r="C113" s="319"/>
      <c r="D113" s="319"/>
      <c r="E113" s="319"/>
      <c r="F113" s="319"/>
      <c r="G113" s="320"/>
      <c r="H113" s="593"/>
      <c r="I113" s="594"/>
      <c r="J113" s="594"/>
      <c r="K113" s="594"/>
      <c r="L113" s="594"/>
      <c r="M113" s="594"/>
      <c r="N113" s="594"/>
      <c r="O113" s="594"/>
      <c r="P113" s="594"/>
      <c r="Q113" s="594"/>
      <c r="R113" s="594"/>
      <c r="S113" s="594"/>
      <c r="T113" s="594"/>
      <c r="U113" s="594"/>
      <c r="V113" s="594"/>
      <c r="W113" s="594"/>
      <c r="X113" s="594"/>
      <c r="Y113" s="595"/>
    </row>
    <row r="114" spans="1:25" ht="9.9499999999999993" customHeight="1" x14ac:dyDescent="0.25">
      <c r="A114" s="549">
        <f t="shared" si="9"/>
        <v>36</v>
      </c>
      <c r="B114" s="548"/>
      <c r="C114" s="317"/>
      <c r="D114" s="317"/>
      <c r="E114" s="317"/>
      <c r="F114" s="317"/>
      <c r="G114" s="318"/>
      <c r="H114" s="590"/>
      <c r="I114" s="591"/>
      <c r="J114" s="591"/>
      <c r="K114" s="591"/>
      <c r="L114" s="591"/>
      <c r="M114" s="591"/>
      <c r="N114" s="591"/>
      <c r="O114" s="591"/>
      <c r="P114" s="591"/>
      <c r="Q114" s="591"/>
      <c r="R114" s="591"/>
      <c r="S114" s="591"/>
      <c r="T114" s="591"/>
      <c r="U114" s="591"/>
      <c r="V114" s="591"/>
      <c r="W114" s="591"/>
      <c r="X114" s="591"/>
      <c r="Y114" s="592"/>
    </row>
    <row r="115" spans="1:25" ht="20.100000000000001" customHeight="1" x14ac:dyDescent="0.25">
      <c r="A115" s="550"/>
      <c r="B115" s="548"/>
      <c r="C115" s="597" t="s">
        <v>271</v>
      </c>
      <c r="D115" s="598"/>
      <c r="E115" s="598"/>
      <c r="F115" s="598"/>
      <c r="G115" s="599"/>
      <c r="H115" s="597"/>
      <c r="I115" s="598"/>
      <c r="J115" s="598"/>
      <c r="K115" s="598"/>
      <c r="L115" s="598"/>
      <c r="M115" s="598"/>
      <c r="N115" s="598"/>
      <c r="O115" s="598"/>
      <c r="P115" s="598"/>
      <c r="Q115" s="598"/>
      <c r="R115" s="598"/>
      <c r="S115" s="598"/>
      <c r="T115" s="598"/>
      <c r="U115" s="598"/>
      <c r="V115" s="598"/>
      <c r="W115" s="598"/>
      <c r="X115" s="598"/>
      <c r="Y115" s="599"/>
    </row>
    <row r="116" spans="1:25" ht="9.9499999999999993" customHeight="1" x14ac:dyDescent="0.25">
      <c r="A116" s="551"/>
      <c r="B116" s="548"/>
      <c r="C116" s="319"/>
      <c r="D116" s="319"/>
      <c r="E116" s="319"/>
      <c r="F116" s="319"/>
      <c r="G116" s="320"/>
      <c r="H116" s="593"/>
      <c r="I116" s="594"/>
      <c r="J116" s="594"/>
      <c r="K116" s="594"/>
      <c r="L116" s="594"/>
      <c r="M116" s="594"/>
      <c r="N116" s="594"/>
      <c r="O116" s="594"/>
      <c r="P116" s="594"/>
      <c r="Q116" s="594"/>
      <c r="R116" s="594"/>
      <c r="S116" s="594"/>
      <c r="T116" s="594"/>
      <c r="U116" s="594"/>
      <c r="V116" s="594"/>
      <c r="W116" s="594"/>
      <c r="X116" s="594"/>
      <c r="Y116" s="595"/>
    </row>
    <row r="117" spans="1:25" ht="9.9499999999999993" customHeight="1" x14ac:dyDescent="0.25">
      <c r="A117" s="549">
        <f t="shared" si="9"/>
        <v>37</v>
      </c>
      <c r="B117" s="548"/>
      <c r="C117" s="317"/>
      <c r="D117" s="317"/>
      <c r="E117" s="317"/>
      <c r="F117" s="317"/>
      <c r="G117" s="318"/>
      <c r="H117" s="590"/>
      <c r="I117" s="591"/>
      <c r="J117" s="591"/>
      <c r="K117" s="591"/>
      <c r="L117" s="591"/>
      <c r="M117" s="591"/>
      <c r="N117" s="591"/>
      <c r="O117" s="591"/>
      <c r="P117" s="591"/>
      <c r="Q117" s="591"/>
      <c r="R117" s="591"/>
      <c r="S117" s="591"/>
      <c r="T117" s="591"/>
      <c r="U117" s="591"/>
      <c r="V117" s="591"/>
      <c r="W117" s="591"/>
      <c r="X117" s="591"/>
      <c r="Y117" s="592"/>
    </row>
    <row r="118" spans="1:25" ht="20.100000000000001" customHeight="1" x14ac:dyDescent="0.25">
      <c r="A118" s="550"/>
      <c r="B118" s="548"/>
      <c r="C118" s="597" t="s">
        <v>271</v>
      </c>
      <c r="D118" s="598"/>
      <c r="E118" s="598"/>
      <c r="F118" s="598"/>
      <c r="G118" s="599"/>
      <c r="H118" s="597"/>
      <c r="I118" s="598"/>
      <c r="J118" s="598"/>
      <c r="K118" s="598"/>
      <c r="L118" s="598"/>
      <c r="M118" s="598"/>
      <c r="N118" s="598"/>
      <c r="O118" s="598"/>
      <c r="P118" s="598"/>
      <c r="Q118" s="598"/>
      <c r="R118" s="598"/>
      <c r="S118" s="598"/>
      <c r="T118" s="598"/>
      <c r="U118" s="598"/>
      <c r="V118" s="598"/>
      <c r="W118" s="598"/>
      <c r="X118" s="598"/>
      <c r="Y118" s="599"/>
    </row>
    <row r="119" spans="1:25" ht="9.9499999999999993" customHeight="1" x14ac:dyDescent="0.25">
      <c r="A119" s="551"/>
      <c r="B119" s="548"/>
      <c r="C119" s="319"/>
      <c r="D119" s="319"/>
      <c r="E119" s="319"/>
      <c r="F119" s="319"/>
      <c r="G119" s="320"/>
      <c r="H119" s="593"/>
      <c r="I119" s="594"/>
      <c r="J119" s="594"/>
      <c r="K119" s="594"/>
      <c r="L119" s="594"/>
      <c r="M119" s="594"/>
      <c r="N119" s="594"/>
      <c r="O119" s="594"/>
      <c r="P119" s="594"/>
      <c r="Q119" s="594"/>
      <c r="R119" s="594"/>
      <c r="S119" s="594"/>
      <c r="T119" s="594"/>
      <c r="U119" s="594"/>
      <c r="V119" s="594"/>
      <c r="W119" s="594"/>
      <c r="X119" s="594"/>
      <c r="Y119" s="595"/>
    </row>
    <row r="120" spans="1:25" ht="9.9499999999999993" customHeight="1" x14ac:dyDescent="0.25">
      <c r="A120" s="549">
        <f t="shared" si="9"/>
        <v>38</v>
      </c>
      <c r="B120" s="548"/>
      <c r="C120" s="317"/>
      <c r="D120" s="317"/>
      <c r="E120" s="317"/>
      <c r="F120" s="317"/>
      <c r="G120" s="318"/>
      <c r="H120" s="590"/>
      <c r="I120" s="591"/>
      <c r="J120" s="591"/>
      <c r="K120" s="591"/>
      <c r="L120" s="591"/>
      <c r="M120" s="591"/>
      <c r="N120" s="591"/>
      <c r="O120" s="591"/>
      <c r="P120" s="591"/>
      <c r="Q120" s="591"/>
      <c r="R120" s="591"/>
      <c r="S120" s="591"/>
      <c r="T120" s="591"/>
      <c r="U120" s="591"/>
      <c r="V120" s="591"/>
      <c r="W120" s="591"/>
      <c r="X120" s="591"/>
      <c r="Y120" s="592"/>
    </row>
    <row r="121" spans="1:25" ht="20.100000000000001" customHeight="1" x14ac:dyDescent="0.25">
      <c r="A121" s="550"/>
      <c r="B121" s="548"/>
      <c r="C121" s="597" t="s">
        <v>271</v>
      </c>
      <c r="D121" s="598"/>
      <c r="E121" s="598"/>
      <c r="F121" s="598"/>
      <c r="G121" s="599"/>
      <c r="H121" s="597"/>
      <c r="I121" s="598"/>
      <c r="J121" s="598"/>
      <c r="K121" s="598"/>
      <c r="L121" s="598"/>
      <c r="M121" s="598"/>
      <c r="N121" s="598"/>
      <c r="O121" s="598"/>
      <c r="P121" s="598"/>
      <c r="Q121" s="598"/>
      <c r="R121" s="598"/>
      <c r="S121" s="598"/>
      <c r="T121" s="598"/>
      <c r="U121" s="598"/>
      <c r="V121" s="598"/>
      <c r="W121" s="598"/>
      <c r="X121" s="598"/>
      <c r="Y121" s="599"/>
    </row>
    <row r="122" spans="1:25" ht="9.9499999999999993" customHeight="1" x14ac:dyDescent="0.25">
      <c r="A122" s="551"/>
      <c r="B122" s="548"/>
      <c r="C122" s="319"/>
      <c r="D122" s="319"/>
      <c r="E122" s="319"/>
      <c r="F122" s="319"/>
      <c r="G122" s="320"/>
      <c r="H122" s="593"/>
      <c r="I122" s="594"/>
      <c r="J122" s="594"/>
      <c r="K122" s="594"/>
      <c r="L122" s="594"/>
      <c r="M122" s="594"/>
      <c r="N122" s="594"/>
      <c r="O122" s="594"/>
      <c r="P122" s="594"/>
      <c r="Q122" s="594"/>
      <c r="R122" s="594"/>
      <c r="S122" s="594"/>
      <c r="T122" s="594"/>
      <c r="U122" s="594"/>
      <c r="V122" s="594"/>
      <c r="W122" s="594"/>
      <c r="X122" s="594"/>
      <c r="Y122" s="595"/>
    </row>
    <row r="123" spans="1:25" ht="9.9499999999999993" customHeight="1" x14ac:dyDescent="0.25">
      <c r="A123" s="549">
        <f t="shared" si="9"/>
        <v>39</v>
      </c>
      <c r="B123" s="548"/>
      <c r="C123" s="317"/>
      <c r="D123" s="317"/>
      <c r="E123" s="317"/>
      <c r="F123" s="317"/>
      <c r="G123" s="318"/>
      <c r="H123" s="590"/>
      <c r="I123" s="591"/>
      <c r="J123" s="591"/>
      <c r="K123" s="591"/>
      <c r="L123" s="591"/>
      <c r="M123" s="591"/>
      <c r="N123" s="591"/>
      <c r="O123" s="591"/>
      <c r="P123" s="591"/>
      <c r="Q123" s="591"/>
      <c r="R123" s="591"/>
      <c r="S123" s="591"/>
      <c r="T123" s="591"/>
      <c r="U123" s="591"/>
      <c r="V123" s="591"/>
      <c r="W123" s="591"/>
      <c r="X123" s="591"/>
      <c r="Y123" s="592"/>
    </row>
    <row r="124" spans="1:25" ht="20.100000000000001" customHeight="1" x14ac:dyDescent="0.25">
      <c r="A124" s="550"/>
      <c r="B124" s="548"/>
      <c r="C124" s="597" t="s">
        <v>271</v>
      </c>
      <c r="D124" s="598"/>
      <c r="E124" s="598"/>
      <c r="F124" s="598"/>
      <c r="G124" s="599"/>
      <c r="H124" s="597"/>
      <c r="I124" s="598"/>
      <c r="J124" s="598"/>
      <c r="K124" s="598"/>
      <c r="L124" s="598"/>
      <c r="M124" s="598"/>
      <c r="N124" s="598"/>
      <c r="O124" s="598"/>
      <c r="P124" s="598"/>
      <c r="Q124" s="598"/>
      <c r="R124" s="598"/>
      <c r="S124" s="598"/>
      <c r="T124" s="598"/>
      <c r="U124" s="598"/>
      <c r="V124" s="598"/>
      <c r="W124" s="598"/>
      <c r="X124" s="598"/>
      <c r="Y124" s="599"/>
    </row>
    <row r="125" spans="1:25" ht="9.9499999999999993" customHeight="1" x14ac:dyDescent="0.25">
      <c r="A125" s="551"/>
      <c r="B125" s="548"/>
      <c r="C125" s="319"/>
      <c r="D125" s="319"/>
      <c r="E125" s="319"/>
      <c r="F125" s="319"/>
      <c r="G125" s="320"/>
      <c r="H125" s="593"/>
      <c r="I125" s="594"/>
      <c r="J125" s="594"/>
      <c r="K125" s="594"/>
      <c r="L125" s="594"/>
      <c r="M125" s="594"/>
      <c r="N125" s="594"/>
      <c r="O125" s="594"/>
      <c r="P125" s="594"/>
      <c r="Q125" s="594"/>
      <c r="R125" s="594"/>
      <c r="S125" s="594"/>
      <c r="T125" s="594"/>
      <c r="U125" s="594"/>
      <c r="V125" s="594"/>
      <c r="W125" s="594"/>
      <c r="X125" s="594"/>
      <c r="Y125" s="595"/>
    </row>
    <row r="126" spans="1:25" ht="9.9499999999999993" customHeight="1" x14ac:dyDescent="0.25">
      <c r="A126" s="549">
        <f t="shared" si="9"/>
        <v>40</v>
      </c>
      <c r="B126" s="548"/>
      <c r="C126" s="317"/>
      <c r="D126" s="317"/>
      <c r="E126" s="317"/>
      <c r="F126" s="317"/>
      <c r="G126" s="318"/>
      <c r="H126" s="590"/>
      <c r="I126" s="591"/>
      <c r="J126" s="591"/>
      <c r="K126" s="591"/>
      <c r="L126" s="591"/>
      <c r="M126" s="591"/>
      <c r="N126" s="591"/>
      <c r="O126" s="591"/>
      <c r="P126" s="591"/>
      <c r="Q126" s="591"/>
      <c r="R126" s="591"/>
      <c r="S126" s="591"/>
      <c r="T126" s="591"/>
      <c r="U126" s="591"/>
      <c r="V126" s="591"/>
      <c r="W126" s="591"/>
      <c r="X126" s="591"/>
      <c r="Y126" s="592"/>
    </row>
    <row r="127" spans="1:25" ht="20.100000000000001" customHeight="1" x14ac:dyDescent="0.25">
      <c r="A127" s="550"/>
      <c r="B127" s="548"/>
      <c r="C127" s="597" t="s">
        <v>271</v>
      </c>
      <c r="D127" s="598"/>
      <c r="E127" s="598"/>
      <c r="F127" s="598"/>
      <c r="G127" s="599"/>
      <c r="H127" s="597"/>
      <c r="I127" s="598"/>
      <c r="J127" s="598"/>
      <c r="K127" s="598"/>
      <c r="L127" s="598"/>
      <c r="M127" s="598"/>
      <c r="N127" s="598"/>
      <c r="O127" s="598"/>
      <c r="P127" s="598"/>
      <c r="Q127" s="598"/>
      <c r="R127" s="598"/>
      <c r="S127" s="598"/>
      <c r="T127" s="598"/>
      <c r="U127" s="598"/>
      <c r="V127" s="598"/>
      <c r="W127" s="598"/>
      <c r="X127" s="598"/>
      <c r="Y127" s="599"/>
    </row>
    <row r="128" spans="1:25" ht="9.9499999999999993" customHeight="1" x14ac:dyDescent="0.25">
      <c r="A128" s="551"/>
      <c r="B128" s="548"/>
      <c r="C128" s="319"/>
      <c r="D128" s="319"/>
      <c r="E128" s="319"/>
      <c r="F128" s="319"/>
      <c r="G128" s="320"/>
      <c r="H128" s="593"/>
      <c r="I128" s="594"/>
      <c r="J128" s="594"/>
      <c r="K128" s="594"/>
      <c r="L128" s="594"/>
      <c r="M128" s="594"/>
      <c r="N128" s="594"/>
      <c r="O128" s="594"/>
      <c r="P128" s="594"/>
      <c r="Q128" s="594"/>
      <c r="R128" s="594"/>
      <c r="S128" s="594"/>
      <c r="T128" s="594"/>
      <c r="U128" s="594"/>
      <c r="V128" s="594"/>
      <c r="W128" s="594"/>
      <c r="X128" s="594"/>
      <c r="Y128" s="595"/>
    </row>
  </sheetData>
  <mergeCells count="182">
    <mergeCell ref="A1:O1"/>
    <mergeCell ref="Q1:Y2"/>
    <mergeCell ref="A2:O2"/>
    <mergeCell ref="A4:B4"/>
    <mergeCell ref="C4:K4"/>
    <mergeCell ref="M4:P4"/>
    <mergeCell ref="Q4:R4"/>
    <mergeCell ref="S4:T4"/>
    <mergeCell ref="U4:V4"/>
    <mergeCell ref="W4:Y4"/>
    <mergeCell ref="A9:A11"/>
    <mergeCell ref="B9:B11"/>
    <mergeCell ref="H9:Y11"/>
    <mergeCell ref="A12:A14"/>
    <mergeCell ref="B12:B14"/>
    <mergeCell ref="H12:Y14"/>
    <mergeCell ref="C10:G10"/>
    <mergeCell ref="W5:Y5"/>
    <mergeCell ref="A7:A8"/>
    <mergeCell ref="B7:B8"/>
    <mergeCell ref="C7:G7"/>
    <mergeCell ref="H7:Y8"/>
    <mergeCell ref="C8:G8"/>
    <mergeCell ref="A5:B5"/>
    <mergeCell ref="C5:K5"/>
    <mergeCell ref="M5:P5"/>
    <mergeCell ref="Q5:R5"/>
    <mergeCell ref="S5:T5"/>
    <mergeCell ref="U5:V5"/>
    <mergeCell ref="C13:G13"/>
    <mergeCell ref="A15:A17"/>
    <mergeCell ref="B15:B17"/>
    <mergeCell ref="H15:Y17"/>
    <mergeCell ref="A18:A20"/>
    <mergeCell ref="B18:B20"/>
    <mergeCell ref="H18:Y20"/>
    <mergeCell ref="C16:G16"/>
    <mergeCell ref="C19:G19"/>
    <mergeCell ref="C22:G22"/>
    <mergeCell ref="A27:A29"/>
    <mergeCell ref="B27:B29"/>
    <mergeCell ref="H27:Y29"/>
    <mergeCell ref="A30:A32"/>
    <mergeCell ref="B30:B32"/>
    <mergeCell ref="H30:Y32"/>
    <mergeCell ref="C31:G31"/>
    <mergeCell ref="C28:G28"/>
    <mergeCell ref="A21:A23"/>
    <mergeCell ref="B21:B23"/>
    <mergeCell ref="H21:Y23"/>
    <mergeCell ref="A24:A26"/>
    <mergeCell ref="B24:B26"/>
    <mergeCell ref="H24:Y26"/>
    <mergeCell ref="C25:G25"/>
    <mergeCell ref="A39:A41"/>
    <mergeCell ref="B39:B41"/>
    <mergeCell ref="H39:Y41"/>
    <mergeCell ref="A42:A44"/>
    <mergeCell ref="B42:B44"/>
    <mergeCell ref="H42:Y44"/>
    <mergeCell ref="C40:G40"/>
    <mergeCell ref="C43:G43"/>
    <mergeCell ref="A33:A35"/>
    <mergeCell ref="B33:B35"/>
    <mergeCell ref="H33:Y35"/>
    <mergeCell ref="A36:A38"/>
    <mergeCell ref="B36:B38"/>
    <mergeCell ref="H36:Y38"/>
    <mergeCell ref="C34:G34"/>
    <mergeCell ref="C37:G37"/>
    <mergeCell ref="A51:A53"/>
    <mergeCell ref="B51:B53"/>
    <mergeCell ref="H51:Y53"/>
    <mergeCell ref="A54:A56"/>
    <mergeCell ref="B54:B56"/>
    <mergeCell ref="H54:Y56"/>
    <mergeCell ref="C52:G52"/>
    <mergeCell ref="C55:G55"/>
    <mergeCell ref="A45:A47"/>
    <mergeCell ref="B45:B47"/>
    <mergeCell ref="H45:Y47"/>
    <mergeCell ref="A48:A50"/>
    <mergeCell ref="B48:B50"/>
    <mergeCell ref="H48:Y50"/>
    <mergeCell ref="C46:G46"/>
    <mergeCell ref="C49:G49"/>
    <mergeCell ref="A63:A65"/>
    <mergeCell ref="B63:B65"/>
    <mergeCell ref="H63:Y65"/>
    <mergeCell ref="A66:A68"/>
    <mergeCell ref="B66:B68"/>
    <mergeCell ref="H66:Y68"/>
    <mergeCell ref="C64:G64"/>
    <mergeCell ref="C67:G67"/>
    <mergeCell ref="A57:A59"/>
    <mergeCell ref="B57:B59"/>
    <mergeCell ref="H57:Y59"/>
    <mergeCell ref="A60:A62"/>
    <mergeCell ref="B60:B62"/>
    <mergeCell ref="H60:Y62"/>
    <mergeCell ref="C58:G58"/>
    <mergeCell ref="C61:G61"/>
    <mergeCell ref="A75:A77"/>
    <mergeCell ref="B75:B77"/>
    <mergeCell ref="H75:Y77"/>
    <mergeCell ref="A78:A80"/>
    <mergeCell ref="B78:B80"/>
    <mergeCell ref="H78:Y80"/>
    <mergeCell ref="C76:G76"/>
    <mergeCell ref="C79:G79"/>
    <mergeCell ref="A69:A71"/>
    <mergeCell ref="B69:B71"/>
    <mergeCell ref="H69:Y71"/>
    <mergeCell ref="A72:A74"/>
    <mergeCell ref="B72:B74"/>
    <mergeCell ref="H72:Y74"/>
    <mergeCell ref="C70:G70"/>
    <mergeCell ref="C73:G73"/>
    <mergeCell ref="A87:A89"/>
    <mergeCell ref="B87:B89"/>
    <mergeCell ref="H87:Y89"/>
    <mergeCell ref="A90:A92"/>
    <mergeCell ref="B90:B92"/>
    <mergeCell ref="H90:Y92"/>
    <mergeCell ref="C88:G88"/>
    <mergeCell ref="C91:G91"/>
    <mergeCell ref="A81:A83"/>
    <mergeCell ref="B81:B83"/>
    <mergeCell ref="H81:Y83"/>
    <mergeCell ref="A84:A86"/>
    <mergeCell ref="B84:B86"/>
    <mergeCell ref="H84:Y86"/>
    <mergeCell ref="C82:G82"/>
    <mergeCell ref="C85:G85"/>
    <mergeCell ref="A99:A101"/>
    <mergeCell ref="B99:B101"/>
    <mergeCell ref="H99:Y101"/>
    <mergeCell ref="A102:A104"/>
    <mergeCell ref="B102:B104"/>
    <mergeCell ref="H102:Y104"/>
    <mergeCell ref="C100:G100"/>
    <mergeCell ref="C103:G103"/>
    <mergeCell ref="A93:A95"/>
    <mergeCell ref="B93:B95"/>
    <mergeCell ref="H93:Y95"/>
    <mergeCell ref="A96:A98"/>
    <mergeCell ref="B96:B98"/>
    <mergeCell ref="H96:Y98"/>
    <mergeCell ref="C94:G94"/>
    <mergeCell ref="C97:G97"/>
    <mergeCell ref="A126:A128"/>
    <mergeCell ref="B126:B128"/>
    <mergeCell ref="H126:Y128"/>
    <mergeCell ref="C124:G124"/>
    <mergeCell ref="C127:G127"/>
    <mergeCell ref="A117:A119"/>
    <mergeCell ref="B117:B119"/>
    <mergeCell ref="H117:Y119"/>
    <mergeCell ref="A120:A122"/>
    <mergeCell ref="B120:B122"/>
    <mergeCell ref="H120:Y122"/>
    <mergeCell ref="C118:G118"/>
    <mergeCell ref="C121:G121"/>
    <mergeCell ref="A123:A125"/>
    <mergeCell ref="B123:B125"/>
    <mergeCell ref="H123:Y125"/>
    <mergeCell ref="A111:A113"/>
    <mergeCell ref="B111:B113"/>
    <mergeCell ref="H111:Y113"/>
    <mergeCell ref="A114:A116"/>
    <mergeCell ref="B114:B116"/>
    <mergeCell ref="H114:Y116"/>
    <mergeCell ref="C112:G112"/>
    <mergeCell ref="C115:G115"/>
    <mergeCell ref="A105:A107"/>
    <mergeCell ref="B105:B107"/>
    <mergeCell ref="H105:Y107"/>
    <mergeCell ref="A108:A110"/>
    <mergeCell ref="B108:B110"/>
    <mergeCell ref="H108:Y110"/>
    <mergeCell ref="C106:G106"/>
    <mergeCell ref="C109:G109"/>
  </mergeCells>
  <pageMargins left="0.39370078740157483" right="0.39370078740157483" top="0.39370078740157483" bottom="0.78740157480314965" header="0" footer="0.39370078740157483"/>
  <pageSetup paperSize="9" orientation="landscape" horizontalDpi="300" r:id="rId1"/>
  <headerFooter>
    <oddFooter>Страница  &amp;P из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26"/>
  <sheetViews>
    <sheetView view="pageBreakPreview" zoomScaleNormal="100" zoomScaleSheetLayoutView="10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RowHeight="15" x14ac:dyDescent="0.25"/>
  <cols>
    <col min="1" max="1" width="6.7109375" style="12" customWidth="1"/>
    <col min="2" max="2" width="3.7109375" style="12" customWidth="1"/>
    <col min="3" max="3" width="0.85546875" style="12" customWidth="1"/>
    <col min="4" max="7" width="18.7109375" style="12" customWidth="1"/>
    <col min="8" max="11" width="7.28515625" style="12" customWidth="1"/>
    <col min="12" max="12" width="20.7109375" style="12" customWidth="1"/>
    <col min="13" max="39" width="7.28515625" style="12" customWidth="1"/>
    <col min="40" max="40" width="7.28515625" style="12" hidden="1" customWidth="1"/>
    <col min="41" max="41" width="9.140625" style="12" customWidth="1"/>
    <col min="42" max="43" width="7.28515625" style="12" customWidth="1"/>
    <col min="44" max="45" width="8.7109375" style="12" customWidth="1"/>
    <col min="46" max="48" width="7.28515625" style="12" customWidth="1"/>
    <col min="49" max="49" width="7.28515625" style="12" hidden="1" customWidth="1"/>
    <col min="50" max="53" width="7.28515625" style="12" customWidth="1"/>
    <col min="54" max="55" width="8.7109375" style="12" customWidth="1"/>
    <col min="56" max="58" width="7.28515625" style="12" customWidth="1"/>
    <col min="59" max="59" width="7.28515625" style="12" hidden="1" customWidth="1"/>
    <col min="60" max="62" width="7.28515625" style="12" customWidth="1"/>
    <col min="63" max="64" width="8.7109375" style="12" customWidth="1"/>
    <col min="65" max="67" width="7.28515625" style="12" customWidth="1"/>
    <col min="68" max="71" width="7.28515625" style="12" hidden="1" customWidth="1"/>
    <col min="72" max="72" width="7.28515625" style="12" customWidth="1"/>
    <col min="73" max="73" width="7.28515625" style="12" hidden="1" customWidth="1"/>
    <col min="74" max="78" width="7.28515625" style="12" customWidth="1"/>
    <col min="79" max="80" width="20.7109375" style="12" customWidth="1"/>
    <col min="81" max="84" width="7.28515625" style="12" customWidth="1"/>
    <col min="85" max="86" width="9.140625" style="12"/>
    <col min="87" max="95" width="7.28515625" style="12" customWidth="1"/>
    <col min="96" max="266" width="9.140625" style="12"/>
    <col min="267" max="267" width="18.7109375" style="12" customWidth="1"/>
    <col min="268" max="268" width="18.140625" style="12" customWidth="1"/>
    <col min="269" max="269" width="8.7109375" style="12" customWidth="1"/>
    <col min="270" max="270" width="9.140625" style="12"/>
    <col min="271" max="271" width="9.140625" style="12" customWidth="1"/>
    <col min="272" max="272" width="27.28515625" style="12" customWidth="1"/>
    <col min="273" max="308" width="9.140625" style="12" customWidth="1"/>
    <col min="309" max="522" width="9.140625" style="12"/>
    <col min="523" max="523" width="18.7109375" style="12" customWidth="1"/>
    <col min="524" max="524" width="18.140625" style="12" customWidth="1"/>
    <col min="525" max="525" width="8.7109375" style="12" customWidth="1"/>
    <col min="526" max="526" width="9.140625" style="12"/>
    <col min="527" max="527" width="9.140625" style="12" customWidth="1"/>
    <col min="528" max="528" width="27.28515625" style="12" customWidth="1"/>
    <col min="529" max="564" width="9.140625" style="12" customWidth="1"/>
    <col min="565" max="778" width="9.140625" style="12"/>
    <col min="779" max="779" width="18.7109375" style="12" customWidth="1"/>
    <col min="780" max="780" width="18.140625" style="12" customWidth="1"/>
    <col min="781" max="781" width="8.7109375" style="12" customWidth="1"/>
    <col min="782" max="782" width="9.140625" style="12"/>
    <col min="783" max="783" width="9.140625" style="12" customWidth="1"/>
    <col min="784" max="784" width="27.28515625" style="12" customWidth="1"/>
    <col min="785" max="820" width="9.140625" style="12" customWidth="1"/>
    <col min="821" max="1034" width="9.140625" style="12"/>
    <col min="1035" max="1035" width="18.7109375" style="12" customWidth="1"/>
    <col min="1036" max="1036" width="18.140625" style="12" customWidth="1"/>
    <col min="1037" max="1037" width="8.7109375" style="12" customWidth="1"/>
    <col min="1038" max="1038" width="9.140625" style="12"/>
    <col min="1039" max="1039" width="9.140625" style="12" customWidth="1"/>
    <col min="1040" max="1040" width="27.28515625" style="12" customWidth="1"/>
    <col min="1041" max="1076" width="9.140625" style="12" customWidth="1"/>
    <col min="1077" max="1290" width="9.140625" style="12"/>
    <col min="1291" max="1291" width="18.7109375" style="12" customWidth="1"/>
    <col min="1292" max="1292" width="18.140625" style="12" customWidth="1"/>
    <col min="1293" max="1293" width="8.7109375" style="12" customWidth="1"/>
    <col min="1294" max="1294" width="9.140625" style="12"/>
    <col min="1295" max="1295" width="9.140625" style="12" customWidth="1"/>
    <col min="1296" max="1296" width="27.28515625" style="12" customWidth="1"/>
    <col min="1297" max="1332" width="9.140625" style="12" customWidth="1"/>
    <col min="1333" max="1546" width="9.140625" style="12"/>
    <col min="1547" max="1547" width="18.7109375" style="12" customWidth="1"/>
    <col min="1548" max="1548" width="18.140625" style="12" customWidth="1"/>
    <col min="1549" max="1549" width="8.7109375" style="12" customWidth="1"/>
    <col min="1550" max="1550" width="9.140625" style="12"/>
    <col min="1551" max="1551" width="9.140625" style="12" customWidth="1"/>
    <col min="1552" max="1552" width="27.28515625" style="12" customWidth="1"/>
    <col min="1553" max="1588" width="9.140625" style="12" customWidth="1"/>
    <col min="1589" max="1802" width="9.140625" style="12"/>
    <col min="1803" max="1803" width="18.7109375" style="12" customWidth="1"/>
    <col min="1804" max="1804" width="18.140625" style="12" customWidth="1"/>
    <col min="1805" max="1805" width="8.7109375" style="12" customWidth="1"/>
    <col min="1806" max="1806" width="9.140625" style="12"/>
    <col min="1807" max="1807" width="9.140625" style="12" customWidth="1"/>
    <col min="1808" max="1808" width="27.28515625" style="12" customWidth="1"/>
    <col min="1809" max="1844" width="9.140625" style="12" customWidth="1"/>
    <col min="1845" max="2058" width="9.140625" style="12"/>
    <col min="2059" max="2059" width="18.7109375" style="12" customWidth="1"/>
    <col min="2060" max="2060" width="18.140625" style="12" customWidth="1"/>
    <col min="2061" max="2061" width="8.7109375" style="12" customWidth="1"/>
    <col min="2062" max="2062" width="9.140625" style="12"/>
    <col min="2063" max="2063" width="9.140625" style="12" customWidth="1"/>
    <col min="2064" max="2064" width="27.28515625" style="12" customWidth="1"/>
    <col min="2065" max="2100" width="9.140625" style="12" customWidth="1"/>
    <col min="2101" max="2314" width="9.140625" style="12"/>
    <col min="2315" max="2315" width="18.7109375" style="12" customWidth="1"/>
    <col min="2316" max="2316" width="18.140625" style="12" customWidth="1"/>
    <col min="2317" max="2317" width="8.7109375" style="12" customWidth="1"/>
    <col min="2318" max="2318" width="9.140625" style="12"/>
    <col min="2319" max="2319" width="9.140625" style="12" customWidth="1"/>
    <col min="2320" max="2320" width="27.28515625" style="12" customWidth="1"/>
    <col min="2321" max="2356" width="9.140625" style="12" customWidth="1"/>
    <col min="2357" max="2570" width="9.140625" style="12"/>
    <col min="2571" max="2571" width="18.7109375" style="12" customWidth="1"/>
    <col min="2572" max="2572" width="18.140625" style="12" customWidth="1"/>
    <col min="2573" max="2573" width="8.7109375" style="12" customWidth="1"/>
    <col min="2574" max="2574" width="9.140625" style="12"/>
    <col min="2575" max="2575" width="9.140625" style="12" customWidth="1"/>
    <col min="2576" max="2576" width="27.28515625" style="12" customWidth="1"/>
    <col min="2577" max="2612" width="9.140625" style="12" customWidth="1"/>
    <col min="2613" max="2826" width="9.140625" style="12"/>
    <col min="2827" max="2827" width="18.7109375" style="12" customWidth="1"/>
    <col min="2828" max="2828" width="18.140625" style="12" customWidth="1"/>
    <col min="2829" max="2829" width="8.7109375" style="12" customWidth="1"/>
    <col min="2830" max="2830" width="9.140625" style="12"/>
    <col min="2831" max="2831" width="9.140625" style="12" customWidth="1"/>
    <col min="2832" max="2832" width="27.28515625" style="12" customWidth="1"/>
    <col min="2833" max="2868" width="9.140625" style="12" customWidth="1"/>
    <col min="2869" max="3082" width="9.140625" style="12"/>
    <col min="3083" max="3083" width="18.7109375" style="12" customWidth="1"/>
    <col min="3084" max="3084" width="18.140625" style="12" customWidth="1"/>
    <col min="3085" max="3085" width="8.7109375" style="12" customWidth="1"/>
    <col min="3086" max="3086" width="9.140625" style="12"/>
    <col min="3087" max="3087" width="9.140625" style="12" customWidth="1"/>
    <col min="3088" max="3088" width="27.28515625" style="12" customWidth="1"/>
    <col min="3089" max="3124" width="9.140625" style="12" customWidth="1"/>
    <col min="3125" max="3338" width="9.140625" style="12"/>
    <col min="3339" max="3339" width="18.7109375" style="12" customWidth="1"/>
    <col min="3340" max="3340" width="18.140625" style="12" customWidth="1"/>
    <col min="3341" max="3341" width="8.7109375" style="12" customWidth="1"/>
    <col min="3342" max="3342" width="9.140625" style="12"/>
    <col min="3343" max="3343" width="9.140625" style="12" customWidth="1"/>
    <col min="3344" max="3344" width="27.28515625" style="12" customWidth="1"/>
    <col min="3345" max="3380" width="9.140625" style="12" customWidth="1"/>
    <col min="3381" max="3594" width="9.140625" style="12"/>
    <col min="3595" max="3595" width="18.7109375" style="12" customWidth="1"/>
    <col min="3596" max="3596" width="18.140625" style="12" customWidth="1"/>
    <col min="3597" max="3597" width="8.7109375" style="12" customWidth="1"/>
    <col min="3598" max="3598" width="9.140625" style="12"/>
    <col min="3599" max="3599" width="9.140625" style="12" customWidth="1"/>
    <col min="3600" max="3600" width="27.28515625" style="12" customWidth="1"/>
    <col min="3601" max="3636" width="9.140625" style="12" customWidth="1"/>
    <col min="3637" max="3850" width="9.140625" style="12"/>
    <col min="3851" max="3851" width="18.7109375" style="12" customWidth="1"/>
    <col min="3852" max="3852" width="18.140625" style="12" customWidth="1"/>
    <col min="3853" max="3853" width="8.7109375" style="12" customWidth="1"/>
    <col min="3854" max="3854" width="9.140625" style="12"/>
    <col min="3855" max="3855" width="9.140625" style="12" customWidth="1"/>
    <col min="3856" max="3856" width="27.28515625" style="12" customWidth="1"/>
    <col min="3857" max="3892" width="9.140625" style="12" customWidth="1"/>
    <col min="3893" max="4106" width="9.140625" style="12"/>
    <col min="4107" max="4107" width="18.7109375" style="12" customWidth="1"/>
    <col min="4108" max="4108" width="18.140625" style="12" customWidth="1"/>
    <col min="4109" max="4109" width="8.7109375" style="12" customWidth="1"/>
    <col min="4110" max="4110" width="9.140625" style="12"/>
    <col min="4111" max="4111" width="9.140625" style="12" customWidth="1"/>
    <col min="4112" max="4112" width="27.28515625" style="12" customWidth="1"/>
    <col min="4113" max="4148" width="9.140625" style="12" customWidth="1"/>
    <col min="4149" max="4362" width="9.140625" style="12"/>
    <col min="4363" max="4363" width="18.7109375" style="12" customWidth="1"/>
    <col min="4364" max="4364" width="18.140625" style="12" customWidth="1"/>
    <col min="4365" max="4365" width="8.7109375" style="12" customWidth="1"/>
    <col min="4366" max="4366" width="9.140625" style="12"/>
    <col min="4367" max="4367" width="9.140625" style="12" customWidth="1"/>
    <col min="4368" max="4368" width="27.28515625" style="12" customWidth="1"/>
    <col min="4369" max="4404" width="9.140625" style="12" customWidth="1"/>
    <col min="4405" max="4618" width="9.140625" style="12"/>
    <col min="4619" max="4619" width="18.7109375" style="12" customWidth="1"/>
    <col min="4620" max="4620" width="18.140625" style="12" customWidth="1"/>
    <col min="4621" max="4621" width="8.7109375" style="12" customWidth="1"/>
    <col min="4622" max="4622" width="9.140625" style="12"/>
    <col min="4623" max="4623" width="9.140625" style="12" customWidth="1"/>
    <col min="4624" max="4624" width="27.28515625" style="12" customWidth="1"/>
    <col min="4625" max="4660" width="9.140625" style="12" customWidth="1"/>
    <col min="4661" max="4874" width="9.140625" style="12"/>
    <col min="4875" max="4875" width="18.7109375" style="12" customWidth="1"/>
    <col min="4876" max="4876" width="18.140625" style="12" customWidth="1"/>
    <col min="4877" max="4877" width="8.7109375" style="12" customWidth="1"/>
    <col min="4878" max="4878" width="9.140625" style="12"/>
    <col min="4879" max="4879" width="9.140625" style="12" customWidth="1"/>
    <col min="4880" max="4880" width="27.28515625" style="12" customWidth="1"/>
    <col min="4881" max="4916" width="9.140625" style="12" customWidth="1"/>
    <col min="4917" max="5130" width="9.140625" style="12"/>
    <col min="5131" max="5131" width="18.7109375" style="12" customWidth="1"/>
    <col min="5132" max="5132" width="18.140625" style="12" customWidth="1"/>
    <col min="5133" max="5133" width="8.7109375" style="12" customWidth="1"/>
    <col min="5134" max="5134" width="9.140625" style="12"/>
    <col min="5135" max="5135" width="9.140625" style="12" customWidth="1"/>
    <col min="5136" max="5136" width="27.28515625" style="12" customWidth="1"/>
    <col min="5137" max="5172" width="9.140625" style="12" customWidth="1"/>
    <col min="5173" max="5386" width="9.140625" style="12"/>
    <col min="5387" max="5387" width="18.7109375" style="12" customWidth="1"/>
    <col min="5388" max="5388" width="18.140625" style="12" customWidth="1"/>
    <col min="5389" max="5389" width="8.7109375" style="12" customWidth="1"/>
    <col min="5390" max="5390" width="9.140625" style="12"/>
    <col min="5391" max="5391" width="9.140625" style="12" customWidth="1"/>
    <col min="5392" max="5392" width="27.28515625" style="12" customWidth="1"/>
    <col min="5393" max="5428" width="9.140625" style="12" customWidth="1"/>
    <col min="5429" max="5642" width="9.140625" style="12"/>
    <col min="5643" max="5643" width="18.7109375" style="12" customWidth="1"/>
    <col min="5644" max="5644" width="18.140625" style="12" customWidth="1"/>
    <col min="5645" max="5645" width="8.7109375" style="12" customWidth="1"/>
    <col min="5646" max="5646" width="9.140625" style="12"/>
    <col min="5647" max="5647" width="9.140625" style="12" customWidth="1"/>
    <col min="5648" max="5648" width="27.28515625" style="12" customWidth="1"/>
    <col min="5649" max="5684" width="9.140625" style="12" customWidth="1"/>
    <col min="5685" max="5898" width="9.140625" style="12"/>
    <col min="5899" max="5899" width="18.7109375" style="12" customWidth="1"/>
    <col min="5900" max="5900" width="18.140625" style="12" customWidth="1"/>
    <col min="5901" max="5901" width="8.7109375" style="12" customWidth="1"/>
    <col min="5902" max="5902" width="9.140625" style="12"/>
    <col min="5903" max="5903" width="9.140625" style="12" customWidth="1"/>
    <col min="5904" max="5904" width="27.28515625" style="12" customWidth="1"/>
    <col min="5905" max="5940" width="9.140625" style="12" customWidth="1"/>
    <col min="5941" max="6154" width="9.140625" style="12"/>
    <col min="6155" max="6155" width="18.7109375" style="12" customWidth="1"/>
    <col min="6156" max="6156" width="18.140625" style="12" customWidth="1"/>
    <col min="6157" max="6157" width="8.7109375" style="12" customWidth="1"/>
    <col min="6158" max="6158" width="9.140625" style="12"/>
    <col min="6159" max="6159" width="9.140625" style="12" customWidth="1"/>
    <col min="6160" max="6160" width="27.28515625" style="12" customWidth="1"/>
    <col min="6161" max="6196" width="9.140625" style="12" customWidth="1"/>
    <col min="6197" max="6410" width="9.140625" style="12"/>
    <col min="6411" max="6411" width="18.7109375" style="12" customWidth="1"/>
    <col min="6412" max="6412" width="18.140625" style="12" customWidth="1"/>
    <col min="6413" max="6413" width="8.7109375" style="12" customWidth="1"/>
    <col min="6414" max="6414" width="9.140625" style="12"/>
    <col min="6415" max="6415" width="9.140625" style="12" customWidth="1"/>
    <col min="6416" max="6416" width="27.28515625" style="12" customWidth="1"/>
    <col min="6417" max="6452" width="9.140625" style="12" customWidth="1"/>
    <col min="6453" max="6666" width="9.140625" style="12"/>
    <col min="6667" max="6667" width="18.7109375" style="12" customWidth="1"/>
    <col min="6668" max="6668" width="18.140625" style="12" customWidth="1"/>
    <col min="6669" max="6669" width="8.7109375" style="12" customWidth="1"/>
    <col min="6670" max="6670" width="9.140625" style="12"/>
    <col min="6671" max="6671" width="9.140625" style="12" customWidth="1"/>
    <col min="6672" max="6672" width="27.28515625" style="12" customWidth="1"/>
    <col min="6673" max="6708" width="9.140625" style="12" customWidth="1"/>
    <col min="6709" max="6922" width="9.140625" style="12"/>
    <col min="6923" max="6923" width="18.7109375" style="12" customWidth="1"/>
    <col min="6924" max="6924" width="18.140625" style="12" customWidth="1"/>
    <col min="6925" max="6925" width="8.7109375" style="12" customWidth="1"/>
    <col min="6926" max="6926" width="9.140625" style="12"/>
    <col min="6927" max="6927" width="9.140625" style="12" customWidth="1"/>
    <col min="6928" max="6928" width="27.28515625" style="12" customWidth="1"/>
    <col min="6929" max="6964" width="9.140625" style="12" customWidth="1"/>
    <col min="6965" max="7178" width="9.140625" style="12"/>
    <col min="7179" max="7179" width="18.7109375" style="12" customWidth="1"/>
    <col min="7180" max="7180" width="18.140625" style="12" customWidth="1"/>
    <col min="7181" max="7181" width="8.7109375" style="12" customWidth="1"/>
    <col min="7182" max="7182" width="9.140625" style="12"/>
    <col min="7183" max="7183" width="9.140625" style="12" customWidth="1"/>
    <col min="7184" max="7184" width="27.28515625" style="12" customWidth="1"/>
    <col min="7185" max="7220" width="9.140625" style="12" customWidth="1"/>
    <col min="7221" max="7434" width="9.140625" style="12"/>
    <col min="7435" max="7435" width="18.7109375" style="12" customWidth="1"/>
    <col min="7436" max="7436" width="18.140625" style="12" customWidth="1"/>
    <col min="7437" max="7437" width="8.7109375" style="12" customWidth="1"/>
    <col min="7438" max="7438" width="9.140625" style="12"/>
    <col min="7439" max="7439" width="9.140625" style="12" customWidth="1"/>
    <col min="7440" max="7440" width="27.28515625" style="12" customWidth="1"/>
    <col min="7441" max="7476" width="9.140625" style="12" customWidth="1"/>
    <col min="7477" max="7690" width="9.140625" style="12"/>
    <col min="7691" max="7691" width="18.7109375" style="12" customWidth="1"/>
    <col min="7692" max="7692" width="18.140625" style="12" customWidth="1"/>
    <col min="7693" max="7693" width="8.7109375" style="12" customWidth="1"/>
    <col min="7694" max="7694" width="9.140625" style="12"/>
    <col min="7695" max="7695" width="9.140625" style="12" customWidth="1"/>
    <col min="7696" max="7696" width="27.28515625" style="12" customWidth="1"/>
    <col min="7697" max="7732" width="9.140625" style="12" customWidth="1"/>
    <col min="7733" max="7946" width="9.140625" style="12"/>
    <col min="7947" max="7947" width="18.7109375" style="12" customWidth="1"/>
    <col min="7948" max="7948" width="18.140625" style="12" customWidth="1"/>
    <col min="7949" max="7949" width="8.7109375" style="12" customWidth="1"/>
    <col min="7950" max="7950" width="9.140625" style="12"/>
    <col min="7951" max="7951" width="9.140625" style="12" customWidth="1"/>
    <col min="7952" max="7952" width="27.28515625" style="12" customWidth="1"/>
    <col min="7953" max="7988" width="9.140625" style="12" customWidth="1"/>
    <col min="7989" max="8202" width="9.140625" style="12"/>
    <col min="8203" max="8203" width="18.7109375" style="12" customWidth="1"/>
    <col min="8204" max="8204" width="18.140625" style="12" customWidth="1"/>
    <col min="8205" max="8205" width="8.7109375" style="12" customWidth="1"/>
    <col min="8206" max="8206" width="9.140625" style="12"/>
    <col min="8207" max="8207" width="9.140625" style="12" customWidth="1"/>
    <col min="8208" max="8208" width="27.28515625" style="12" customWidth="1"/>
    <col min="8209" max="8244" width="9.140625" style="12" customWidth="1"/>
    <col min="8245" max="8458" width="9.140625" style="12"/>
    <col min="8459" max="8459" width="18.7109375" style="12" customWidth="1"/>
    <col min="8460" max="8460" width="18.140625" style="12" customWidth="1"/>
    <col min="8461" max="8461" width="8.7109375" style="12" customWidth="1"/>
    <col min="8462" max="8462" width="9.140625" style="12"/>
    <col min="8463" max="8463" width="9.140625" style="12" customWidth="1"/>
    <col min="8464" max="8464" width="27.28515625" style="12" customWidth="1"/>
    <col min="8465" max="8500" width="9.140625" style="12" customWidth="1"/>
    <col min="8501" max="8714" width="9.140625" style="12"/>
    <col min="8715" max="8715" width="18.7109375" style="12" customWidth="1"/>
    <col min="8716" max="8716" width="18.140625" style="12" customWidth="1"/>
    <col min="8717" max="8717" width="8.7109375" style="12" customWidth="1"/>
    <col min="8718" max="8718" width="9.140625" style="12"/>
    <col min="8719" max="8719" width="9.140625" style="12" customWidth="1"/>
    <col min="8720" max="8720" width="27.28515625" style="12" customWidth="1"/>
    <col min="8721" max="8756" width="9.140625" style="12" customWidth="1"/>
    <col min="8757" max="8970" width="9.140625" style="12"/>
    <col min="8971" max="8971" width="18.7109375" style="12" customWidth="1"/>
    <col min="8972" max="8972" width="18.140625" style="12" customWidth="1"/>
    <col min="8973" max="8973" width="8.7109375" style="12" customWidth="1"/>
    <col min="8974" max="8974" width="9.140625" style="12"/>
    <col min="8975" max="8975" width="9.140625" style="12" customWidth="1"/>
    <col min="8976" max="8976" width="27.28515625" style="12" customWidth="1"/>
    <col min="8977" max="9012" width="9.140625" style="12" customWidth="1"/>
    <col min="9013" max="9226" width="9.140625" style="12"/>
    <col min="9227" max="9227" width="18.7109375" style="12" customWidth="1"/>
    <col min="9228" max="9228" width="18.140625" style="12" customWidth="1"/>
    <col min="9229" max="9229" width="8.7109375" style="12" customWidth="1"/>
    <col min="9230" max="9230" width="9.140625" style="12"/>
    <col min="9231" max="9231" width="9.140625" style="12" customWidth="1"/>
    <col min="9232" max="9232" width="27.28515625" style="12" customWidth="1"/>
    <col min="9233" max="9268" width="9.140625" style="12" customWidth="1"/>
    <col min="9269" max="9482" width="9.140625" style="12"/>
    <col min="9483" max="9483" width="18.7109375" style="12" customWidth="1"/>
    <col min="9484" max="9484" width="18.140625" style="12" customWidth="1"/>
    <col min="9485" max="9485" width="8.7109375" style="12" customWidth="1"/>
    <col min="9486" max="9486" width="9.140625" style="12"/>
    <col min="9487" max="9487" width="9.140625" style="12" customWidth="1"/>
    <col min="9488" max="9488" width="27.28515625" style="12" customWidth="1"/>
    <col min="9489" max="9524" width="9.140625" style="12" customWidth="1"/>
    <col min="9525" max="9738" width="9.140625" style="12"/>
    <col min="9739" max="9739" width="18.7109375" style="12" customWidth="1"/>
    <col min="9740" max="9740" width="18.140625" style="12" customWidth="1"/>
    <col min="9741" max="9741" width="8.7109375" style="12" customWidth="1"/>
    <col min="9742" max="9742" width="9.140625" style="12"/>
    <col min="9743" max="9743" width="9.140625" style="12" customWidth="1"/>
    <col min="9744" max="9744" width="27.28515625" style="12" customWidth="1"/>
    <col min="9745" max="9780" width="9.140625" style="12" customWidth="1"/>
    <col min="9781" max="9994" width="9.140625" style="12"/>
    <col min="9995" max="9995" width="18.7109375" style="12" customWidth="1"/>
    <col min="9996" max="9996" width="18.140625" style="12" customWidth="1"/>
    <col min="9997" max="9997" width="8.7109375" style="12" customWidth="1"/>
    <col min="9998" max="9998" width="9.140625" style="12"/>
    <col min="9999" max="9999" width="9.140625" style="12" customWidth="1"/>
    <col min="10000" max="10000" width="27.28515625" style="12" customWidth="1"/>
    <col min="10001" max="10036" width="9.140625" style="12" customWidth="1"/>
    <col min="10037" max="10250" width="9.140625" style="12"/>
    <col min="10251" max="10251" width="18.7109375" style="12" customWidth="1"/>
    <col min="10252" max="10252" width="18.140625" style="12" customWidth="1"/>
    <col min="10253" max="10253" width="8.7109375" style="12" customWidth="1"/>
    <col min="10254" max="10254" width="9.140625" style="12"/>
    <col min="10255" max="10255" width="9.140625" style="12" customWidth="1"/>
    <col min="10256" max="10256" width="27.28515625" style="12" customWidth="1"/>
    <col min="10257" max="10292" width="9.140625" style="12" customWidth="1"/>
    <col min="10293" max="10506" width="9.140625" style="12"/>
    <col min="10507" max="10507" width="18.7109375" style="12" customWidth="1"/>
    <col min="10508" max="10508" width="18.140625" style="12" customWidth="1"/>
    <col min="10509" max="10509" width="8.7109375" style="12" customWidth="1"/>
    <col min="10510" max="10510" width="9.140625" style="12"/>
    <col min="10511" max="10511" width="9.140625" style="12" customWidth="1"/>
    <col min="10512" max="10512" width="27.28515625" style="12" customWidth="1"/>
    <col min="10513" max="10548" width="9.140625" style="12" customWidth="1"/>
    <col min="10549" max="10762" width="9.140625" style="12"/>
    <col min="10763" max="10763" width="18.7109375" style="12" customWidth="1"/>
    <col min="10764" max="10764" width="18.140625" style="12" customWidth="1"/>
    <col min="10765" max="10765" width="8.7109375" style="12" customWidth="1"/>
    <col min="10766" max="10766" width="9.140625" style="12"/>
    <col min="10767" max="10767" width="9.140625" style="12" customWidth="1"/>
    <col min="10768" max="10768" width="27.28515625" style="12" customWidth="1"/>
    <col min="10769" max="10804" width="9.140625" style="12" customWidth="1"/>
    <col min="10805" max="11018" width="9.140625" style="12"/>
    <col min="11019" max="11019" width="18.7109375" style="12" customWidth="1"/>
    <col min="11020" max="11020" width="18.140625" style="12" customWidth="1"/>
    <col min="11021" max="11021" width="8.7109375" style="12" customWidth="1"/>
    <col min="11022" max="11022" width="9.140625" style="12"/>
    <col min="11023" max="11023" width="9.140625" style="12" customWidth="1"/>
    <col min="11024" max="11024" width="27.28515625" style="12" customWidth="1"/>
    <col min="11025" max="11060" width="9.140625" style="12" customWidth="1"/>
    <col min="11061" max="11274" width="9.140625" style="12"/>
    <col min="11275" max="11275" width="18.7109375" style="12" customWidth="1"/>
    <col min="11276" max="11276" width="18.140625" style="12" customWidth="1"/>
    <col min="11277" max="11277" width="8.7109375" style="12" customWidth="1"/>
    <col min="11278" max="11278" width="9.140625" style="12"/>
    <col min="11279" max="11279" width="9.140625" style="12" customWidth="1"/>
    <col min="11280" max="11280" width="27.28515625" style="12" customWidth="1"/>
    <col min="11281" max="11316" width="9.140625" style="12" customWidth="1"/>
    <col min="11317" max="11530" width="9.140625" style="12"/>
    <col min="11531" max="11531" width="18.7109375" style="12" customWidth="1"/>
    <col min="11532" max="11532" width="18.140625" style="12" customWidth="1"/>
    <col min="11533" max="11533" width="8.7109375" style="12" customWidth="1"/>
    <col min="11534" max="11534" width="9.140625" style="12"/>
    <col min="11535" max="11535" width="9.140625" style="12" customWidth="1"/>
    <col min="11536" max="11536" width="27.28515625" style="12" customWidth="1"/>
    <col min="11537" max="11572" width="9.140625" style="12" customWidth="1"/>
    <col min="11573" max="11786" width="9.140625" style="12"/>
    <col min="11787" max="11787" width="18.7109375" style="12" customWidth="1"/>
    <col min="11788" max="11788" width="18.140625" style="12" customWidth="1"/>
    <col min="11789" max="11789" width="8.7109375" style="12" customWidth="1"/>
    <col min="11790" max="11790" width="9.140625" style="12"/>
    <col min="11791" max="11791" width="9.140625" style="12" customWidth="1"/>
    <col min="11792" max="11792" width="27.28515625" style="12" customWidth="1"/>
    <col min="11793" max="11828" width="9.140625" style="12" customWidth="1"/>
    <col min="11829" max="12042" width="9.140625" style="12"/>
    <col min="12043" max="12043" width="18.7109375" style="12" customWidth="1"/>
    <col min="12044" max="12044" width="18.140625" style="12" customWidth="1"/>
    <col min="12045" max="12045" width="8.7109375" style="12" customWidth="1"/>
    <col min="12046" max="12046" width="9.140625" style="12"/>
    <col min="12047" max="12047" width="9.140625" style="12" customWidth="1"/>
    <col min="12048" max="12048" width="27.28515625" style="12" customWidth="1"/>
    <col min="12049" max="12084" width="9.140625" style="12" customWidth="1"/>
    <col min="12085" max="12298" width="9.140625" style="12"/>
    <col min="12299" max="12299" width="18.7109375" style="12" customWidth="1"/>
    <col min="12300" max="12300" width="18.140625" style="12" customWidth="1"/>
    <col min="12301" max="12301" width="8.7109375" style="12" customWidth="1"/>
    <col min="12302" max="12302" width="9.140625" style="12"/>
    <col min="12303" max="12303" width="9.140625" style="12" customWidth="1"/>
    <col min="12304" max="12304" width="27.28515625" style="12" customWidth="1"/>
    <col min="12305" max="12340" width="9.140625" style="12" customWidth="1"/>
    <col min="12341" max="12554" width="9.140625" style="12"/>
    <col min="12555" max="12555" width="18.7109375" style="12" customWidth="1"/>
    <col min="12556" max="12556" width="18.140625" style="12" customWidth="1"/>
    <col min="12557" max="12557" width="8.7109375" style="12" customWidth="1"/>
    <col min="12558" max="12558" width="9.140625" style="12"/>
    <col min="12559" max="12559" width="9.140625" style="12" customWidth="1"/>
    <col min="12560" max="12560" width="27.28515625" style="12" customWidth="1"/>
    <col min="12561" max="12596" width="9.140625" style="12" customWidth="1"/>
    <col min="12597" max="12810" width="9.140625" style="12"/>
    <col min="12811" max="12811" width="18.7109375" style="12" customWidth="1"/>
    <col min="12812" max="12812" width="18.140625" style="12" customWidth="1"/>
    <col min="12813" max="12813" width="8.7109375" style="12" customWidth="1"/>
    <col min="12814" max="12814" width="9.140625" style="12"/>
    <col min="12815" max="12815" width="9.140625" style="12" customWidth="1"/>
    <col min="12816" max="12816" width="27.28515625" style="12" customWidth="1"/>
    <col min="12817" max="12852" width="9.140625" style="12" customWidth="1"/>
    <col min="12853" max="13066" width="9.140625" style="12"/>
    <col min="13067" max="13067" width="18.7109375" style="12" customWidth="1"/>
    <col min="13068" max="13068" width="18.140625" style="12" customWidth="1"/>
    <col min="13069" max="13069" width="8.7109375" style="12" customWidth="1"/>
    <col min="13070" max="13070" width="9.140625" style="12"/>
    <col min="13071" max="13071" width="9.140625" style="12" customWidth="1"/>
    <col min="13072" max="13072" width="27.28515625" style="12" customWidth="1"/>
    <col min="13073" max="13108" width="9.140625" style="12" customWidth="1"/>
    <col min="13109" max="13322" width="9.140625" style="12"/>
    <col min="13323" max="13323" width="18.7109375" style="12" customWidth="1"/>
    <col min="13324" max="13324" width="18.140625" style="12" customWidth="1"/>
    <col min="13325" max="13325" width="8.7109375" style="12" customWidth="1"/>
    <col min="13326" max="13326" width="9.140625" style="12"/>
    <col min="13327" max="13327" width="9.140625" style="12" customWidth="1"/>
    <col min="13328" max="13328" width="27.28515625" style="12" customWidth="1"/>
    <col min="13329" max="13364" width="9.140625" style="12" customWidth="1"/>
    <col min="13365" max="13578" width="9.140625" style="12"/>
    <col min="13579" max="13579" width="18.7109375" style="12" customWidth="1"/>
    <col min="13580" max="13580" width="18.140625" style="12" customWidth="1"/>
    <col min="13581" max="13581" width="8.7109375" style="12" customWidth="1"/>
    <col min="13582" max="13582" width="9.140625" style="12"/>
    <col min="13583" max="13583" width="9.140625" style="12" customWidth="1"/>
    <col min="13584" max="13584" width="27.28515625" style="12" customWidth="1"/>
    <col min="13585" max="13620" width="9.140625" style="12" customWidth="1"/>
    <col min="13621" max="13834" width="9.140625" style="12"/>
    <col min="13835" max="13835" width="18.7109375" style="12" customWidth="1"/>
    <col min="13836" max="13836" width="18.140625" style="12" customWidth="1"/>
    <col min="13837" max="13837" width="8.7109375" style="12" customWidth="1"/>
    <col min="13838" max="13838" width="9.140625" style="12"/>
    <col min="13839" max="13839" width="9.140625" style="12" customWidth="1"/>
    <col min="13840" max="13840" width="27.28515625" style="12" customWidth="1"/>
    <col min="13841" max="13876" width="9.140625" style="12" customWidth="1"/>
    <col min="13877" max="14090" width="9.140625" style="12"/>
    <col min="14091" max="14091" width="18.7109375" style="12" customWidth="1"/>
    <col min="14092" max="14092" width="18.140625" style="12" customWidth="1"/>
    <col min="14093" max="14093" width="8.7109375" style="12" customWidth="1"/>
    <col min="14094" max="14094" width="9.140625" style="12"/>
    <col min="14095" max="14095" width="9.140625" style="12" customWidth="1"/>
    <col min="14096" max="14096" width="27.28515625" style="12" customWidth="1"/>
    <col min="14097" max="14132" width="9.140625" style="12" customWidth="1"/>
    <col min="14133" max="14346" width="9.140625" style="12"/>
    <col min="14347" max="14347" width="18.7109375" style="12" customWidth="1"/>
    <col min="14348" max="14348" width="18.140625" style="12" customWidth="1"/>
    <col min="14349" max="14349" width="8.7109375" style="12" customWidth="1"/>
    <col min="14350" max="14350" width="9.140625" style="12"/>
    <col min="14351" max="14351" width="9.140625" style="12" customWidth="1"/>
    <col min="14352" max="14352" width="27.28515625" style="12" customWidth="1"/>
    <col min="14353" max="14388" width="9.140625" style="12" customWidth="1"/>
    <col min="14389" max="14602" width="9.140625" style="12"/>
    <col min="14603" max="14603" width="18.7109375" style="12" customWidth="1"/>
    <col min="14604" max="14604" width="18.140625" style="12" customWidth="1"/>
    <col min="14605" max="14605" width="8.7109375" style="12" customWidth="1"/>
    <col min="14606" max="14606" width="9.140625" style="12"/>
    <col min="14607" max="14607" width="9.140625" style="12" customWidth="1"/>
    <col min="14608" max="14608" width="27.28515625" style="12" customWidth="1"/>
    <col min="14609" max="14644" width="9.140625" style="12" customWidth="1"/>
    <col min="14645" max="14858" width="9.140625" style="12"/>
    <col min="14859" max="14859" width="18.7109375" style="12" customWidth="1"/>
    <col min="14860" max="14860" width="18.140625" style="12" customWidth="1"/>
    <col min="14861" max="14861" width="8.7109375" style="12" customWidth="1"/>
    <col min="14862" max="14862" width="9.140625" style="12"/>
    <col min="14863" max="14863" width="9.140625" style="12" customWidth="1"/>
    <col min="14864" max="14864" width="27.28515625" style="12" customWidth="1"/>
    <col min="14865" max="14900" width="9.140625" style="12" customWidth="1"/>
    <col min="14901" max="15114" width="9.140625" style="12"/>
    <col min="15115" max="15115" width="18.7109375" style="12" customWidth="1"/>
    <col min="15116" max="15116" width="18.140625" style="12" customWidth="1"/>
    <col min="15117" max="15117" width="8.7109375" style="12" customWidth="1"/>
    <col min="15118" max="15118" width="9.140625" style="12"/>
    <col min="15119" max="15119" width="9.140625" style="12" customWidth="1"/>
    <col min="15120" max="15120" width="27.28515625" style="12" customWidth="1"/>
    <col min="15121" max="15156" width="9.140625" style="12" customWidth="1"/>
    <col min="15157" max="15370" width="9.140625" style="12"/>
    <col min="15371" max="15371" width="18.7109375" style="12" customWidth="1"/>
    <col min="15372" max="15372" width="18.140625" style="12" customWidth="1"/>
    <col min="15373" max="15373" width="8.7109375" style="12" customWidth="1"/>
    <col min="15374" max="15374" width="9.140625" style="12"/>
    <col min="15375" max="15375" width="9.140625" style="12" customWidth="1"/>
    <col min="15376" max="15376" width="27.28515625" style="12" customWidth="1"/>
    <col min="15377" max="15412" width="9.140625" style="12" customWidth="1"/>
    <col min="15413" max="15626" width="9.140625" style="12"/>
    <col min="15627" max="15627" width="18.7109375" style="12" customWidth="1"/>
    <col min="15628" max="15628" width="18.140625" style="12" customWidth="1"/>
    <col min="15629" max="15629" width="8.7109375" style="12" customWidth="1"/>
    <col min="15630" max="15630" width="9.140625" style="12"/>
    <col min="15631" max="15631" width="9.140625" style="12" customWidth="1"/>
    <col min="15632" max="15632" width="27.28515625" style="12" customWidth="1"/>
    <col min="15633" max="15668" width="9.140625" style="12" customWidth="1"/>
    <col min="15669" max="15882" width="9.140625" style="12"/>
    <col min="15883" max="15883" width="18.7109375" style="12" customWidth="1"/>
    <col min="15884" max="15884" width="18.140625" style="12" customWidth="1"/>
    <col min="15885" max="15885" width="8.7109375" style="12" customWidth="1"/>
    <col min="15886" max="15886" width="9.140625" style="12"/>
    <col min="15887" max="15887" width="9.140625" style="12" customWidth="1"/>
    <col min="15888" max="15888" width="27.28515625" style="12" customWidth="1"/>
    <col min="15889" max="15924" width="9.140625" style="12" customWidth="1"/>
    <col min="15925" max="16138" width="9.140625" style="12"/>
    <col min="16139" max="16139" width="18.7109375" style="12" customWidth="1"/>
    <col min="16140" max="16140" width="18.140625" style="12" customWidth="1"/>
    <col min="16141" max="16141" width="8.7109375" style="12" customWidth="1"/>
    <col min="16142" max="16142" width="9.140625" style="12"/>
    <col min="16143" max="16143" width="9.140625" style="12" customWidth="1"/>
    <col min="16144" max="16144" width="27.28515625" style="12" customWidth="1"/>
    <col min="16145" max="16180" width="9.140625" style="12" customWidth="1"/>
    <col min="16181" max="16384" width="9.140625" style="12"/>
  </cols>
  <sheetData>
    <row r="1" spans="1:95" ht="21" customHeight="1" x14ac:dyDescent="0.25">
      <c r="D1" s="431" t="str">
        <f>"Результаты " &amp; НазваниеПолное</f>
        <v>Результаты Ралли "Skoda Rally Weekend - 2017"</v>
      </c>
      <c r="E1" s="431"/>
      <c r="F1" s="431"/>
      <c r="G1" s="431"/>
      <c r="H1" s="431"/>
      <c r="J1" s="14"/>
      <c r="N1" s="14"/>
      <c r="CB1" s="125"/>
      <c r="CC1" s="125"/>
      <c r="CD1" s="125"/>
      <c r="CE1" s="125"/>
      <c r="CF1" s="125"/>
    </row>
    <row r="2" spans="1:95" ht="5.0999999999999996" customHeight="1" x14ac:dyDescent="0.25"/>
    <row r="3" spans="1:95" ht="18.75" x14ac:dyDescent="0.3">
      <c r="A3" s="314"/>
      <c r="B3" s="313"/>
      <c r="C3" s="312"/>
      <c r="D3" s="425" t="s">
        <v>1</v>
      </c>
      <c r="E3" s="426"/>
      <c r="F3" s="426"/>
      <c r="G3" s="426"/>
      <c r="H3" s="426"/>
      <c r="I3" s="426"/>
      <c r="J3" s="427"/>
      <c r="K3" s="425" t="s">
        <v>63</v>
      </c>
      <c r="L3" s="427"/>
      <c r="M3" s="421" t="str">
        <f>КВ0</f>
        <v>КВ-0 Старт Skoda</v>
      </c>
      <c r="N3" s="422"/>
      <c r="O3" s="423" t="s">
        <v>221</v>
      </c>
      <c r="P3" s="424"/>
      <c r="Q3" s="425" t="str">
        <f>КВ1</f>
        <v>КВ-1 М1</v>
      </c>
      <c r="R3" s="426"/>
      <c r="S3" s="426"/>
      <c r="T3" s="427"/>
      <c r="U3" s="423" t="s">
        <v>221</v>
      </c>
      <c r="V3" s="424"/>
      <c r="W3" s="425" t="str">
        <f>КВ2</f>
        <v>КВ-2 Окружная</v>
      </c>
      <c r="X3" s="426"/>
      <c r="Y3" s="426"/>
      <c r="Z3" s="427"/>
      <c r="AA3" s="423" t="s">
        <v>221</v>
      </c>
      <c r="AB3" s="424"/>
      <c r="AC3" s="425" t="str">
        <f>КВ3</f>
        <v>КВ-3 Родник</v>
      </c>
      <c r="AD3" s="426"/>
      <c r="AE3" s="426"/>
      <c r="AF3" s="427"/>
      <c r="AG3" s="423" t="s">
        <v>221</v>
      </c>
      <c r="AH3" s="424"/>
      <c r="AI3" s="425" t="str">
        <f>КВ4</f>
        <v>КВ-4 Финиш Skoda</v>
      </c>
      <c r="AJ3" s="426"/>
      <c r="AK3" s="426"/>
      <c r="AL3" s="426"/>
      <c r="AM3" s="427"/>
      <c r="AN3" s="428" t="str">
        <f>ДС1</f>
        <v>ДС-1 РД</v>
      </c>
      <c r="AO3" s="429"/>
      <c r="AP3" s="429"/>
      <c r="AQ3" s="429"/>
      <c r="AR3" s="429"/>
      <c r="AS3" s="429"/>
      <c r="AT3" s="429"/>
      <c r="AU3" s="429"/>
      <c r="AV3" s="430"/>
      <c r="AW3" s="425" t="str">
        <f>ДС2</f>
        <v>ДС-2 РУ</v>
      </c>
      <c r="AX3" s="426"/>
      <c r="AY3" s="426"/>
      <c r="AZ3" s="426"/>
      <c r="BA3" s="426"/>
      <c r="BB3" s="426"/>
      <c r="BC3" s="426"/>
      <c r="BD3" s="426"/>
      <c r="BE3" s="426"/>
      <c r="BF3" s="427"/>
      <c r="BG3" s="428" t="str">
        <f>ДС3</f>
        <v>ДС-3 РД</v>
      </c>
      <c r="BH3" s="429"/>
      <c r="BI3" s="429"/>
      <c r="BJ3" s="429"/>
      <c r="BK3" s="429"/>
      <c r="BL3" s="429"/>
      <c r="BM3" s="429"/>
      <c r="BN3" s="429"/>
      <c r="BO3" s="430"/>
      <c r="BP3" s="425" t="str">
        <f>ДС4</f>
        <v>ДС-4 СЛ</v>
      </c>
      <c r="BQ3" s="426"/>
      <c r="BR3" s="426"/>
      <c r="BS3" s="426"/>
      <c r="BT3" s="426"/>
      <c r="BU3" s="426"/>
      <c r="BV3" s="426"/>
      <c r="BW3" s="426"/>
      <c r="BX3" s="426"/>
      <c r="BY3" s="426"/>
      <c r="BZ3" s="427"/>
      <c r="CA3" s="425" t="s">
        <v>46</v>
      </c>
      <c r="CB3" s="426"/>
      <c r="CC3" s="426"/>
      <c r="CD3" s="427"/>
      <c r="CE3" s="425" t="s">
        <v>230</v>
      </c>
      <c r="CF3" s="427"/>
      <c r="CI3" s="425" t="s">
        <v>287</v>
      </c>
      <c r="CJ3" s="427"/>
      <c r="CK3" s="425" t="s">
        <v>288</v>
      </c>
      <c r="CL3" s="426"/>
      <c r="CM3" s="426"/>
      <c r="CN3" s="426"/>
      <c r="CO3" s="426"/>
      <c r="CP3" s="426"/>
      <c r="CQ3" s="427"/>
    </row>
    <row r="4" spans="1:95" s="174" customFormat="1" ht="89.25" x14ac:dyDescent="0.2">
      <c r="A4" s="309" t="s">
        <v>298</v>
      </c>
      <c r="B4" s="315" t="s">
        <v>16</v>
      </c>
      <c r="C4" s="310"/>
      <c r="D4" s="299" t="s">
        <v>134</v>
      </c>
      <c r="E4" s="300" t="s">
        <v>17</v>
      </c>
      <c r="F4" s="300" t="s">
        <v>18</v>
      </c>
      <c r="G4" s="300" t="s">
        <v>19</v>
      </c>
      <c r="H4" s="294" t="s">
        <v>20</v>
      </c>
      <c r="I4" s="294" t="s">
        <v>297</v>
      </c>
      <c r="J4" s="295" t="s">
        <v>45</v>
      </c>
      <c r="K4" s="296" t="s">
        <v>101</v>
      </c>
      <c r="L4" s="297" t="s">
        <v>64</v>
      </c>
      <c r="M4" s="293" t="s">
        <v>219</v>
      </c>
      <c r="N4" s="295" t="s">
        <v>22</v>
      </c>
      <c r="O4" s="293" t="s">
        <v>31</v>
      </c>
      <c r="P4" s="298" t="s">
        <v>290</v>
      </c>
      <c r="Q4" s="293" t="s">
        <v>98</v>
      </c>
      <c r="R4" s="294" t="s">
        <v>219</v>
      </c>
      <c r="S4" s="294" t="s">
        <v>157</v>
      </c>
      <c r="T4" s="295" t="s">
        <v>22</v>
      </c>
      <c r="U4" s="293" t="s">
        <v>31</v>
      </c>
      <c r="V4" s="298" t="s">
        <v>290</v>
      </c>
      <c r="W4" s="293" t="s">
        <v>335</v>
      </c>
      <c r="X4" s="294" t="s">
        <v>219</v>
      </c>
      <c r="Y4" s="294" t="s">
        <v>157</v>
      </c>
      <c r="Z4" s="295" t="s">
        <v>22</v>
      </c>
      <c r="AA4" s="293" t="s">
        <v>31</v>
      </c>
      <c r="AB4" s="298" t="s">
        <v>290</v>
      </c>
      <c r="AC4" s="293" t="s">
        <v>98</v>
      </c>
      <c r="AD4" s="294" t="s">
        <v>219</v>
      </c>
      <c r="AE4" s="294" t="s">
        <v>157</v>
      </c>
      <c r="AF4" s="295" t="s">
        <v>22</v>
      </c>
      <c r="AG4" s="293" t="s">
        <v>31</v>
      </c>
      <c r="AH4" s="298" t="s">
        <v>290</v>
      </c>
      <c r="AI4" s="293" t="s">
        <v>304</v>
      </c>
      <c r="AJ4" s="294" t="s">
        <v>156</v>
      </c>
      <c r="AK4" s="294" t="s">
        <v>219</v>
      </c>
      <c r="AL4" s="294" t="s">
        <v>157</v>
      </c>
      <c r="AM4" s="295" t="s">
        <v>22</v>
      </c>
      <c r="AN4" s="293" t="s">
        <v>227</v>
      </c>
      <c r="AO4" s="294" t="s">
        <v>81</v>
      </c>
      <c r="AP4" s="294" t="s">
        <v>82</v>
      </c>
      <c r="AQ4" s="294" t="s">
        <v>100</v>
      </c>
      <c r="AR4" s="294" t="s">
        <v>24</v>
      </c>
      <c r="AS4" s="294" t="s">
        <v>25</v>
      </c>
      <c r="AT4" s="294" t="s">
        <v>26</v>
      </c>
      <c r="AU4" s="294" t="s">
        <v>223</v>
      </c>
      <c r="AV4" s="295" t="s">
        <v>22</v>
      </c>
      <c r="AW4" s="293" t="s">
        <v>227</v>
      </c>
      <c r="AX4" s="294" t="s">
        <v>81</v>
      </c>
      <c r="AY4" s="294" t="s">
        <v>82</v>
      </c>
      <c r="AZ4" s="294" t="s">
        <v>228</v>
      </c>
      <c r="BA4" s="294" t="s">
        <v>100</v>
      </c>
      <c r="BB4" s="294" t="s">
        <v>24</v>
      </c>
      <c r="BC4" s="294" t="s">
        <v>25</v>
      </c>
      <c r="BD4" s="294" t="s">
        <v>26</v>
      </c>
      <c r="BE4" s="294" t="s">
        <v>23</v>
      </c>
      <c r="BF4" s="295" t="s">
        <v>22</v>
      </c>
      <c r="BG4" s="293" t="s">
        <v>227</v>
      </c>
      <c r="BH4" s="294" t="s">
        <v>81</v>
      </c>
      <c r="BI4" s="294" t="s">
        <v>82</v>
      </c>
      <c r="BJ4" s="294" t="s">
        <v>100</v>
      </c>
      <c r="BK4" s="294" t="s">
        <v>24</v>
      </c>
      <c r="BL4" s="372" t="s">
        <v>25</v>
      </c>
      <c r="BM4" s="294" t="s">
        <v>26</v>
      </c>
      <c r="BN4" s="294" t="s">
        <v>223</v>
      </c>
      <c r="BO4" s="295" t="s">
        <v>22</v>
      </c>
      <c r="BP4" s="293" t="s">
        <v>227</v>
      </c>
      <c r="BQ4" s="294" t="s">
        <v>44</v>
      </c>
      <c r="BR4" s="294" t="s">
        <v>97</v>
      </c>
      <c r="BS4" s="294" t="s">
        <v>222</v>
      </c>
      <c r="BT4" s="294" t="s">
        <v>232</v>
      </c>
      <c r="BU4" s="294" t="s">
        <v>99</v>
      </c>
      <c r="BV4" s="294" t="s">
        <v>223</v>
      </c>
      <c r="BW4" s="294" t="s">
        <v>225</v>
      </c>
      <c r="BX4" s="294" t="s">
        <v>224</v>
      </c>
      <c r="BY4" s="294" t="s">
        <v>226</v>
      </c>
      <c r="BZ4" s="295" t="s">
        <v>22</v>
      </c>
      <c r="CA4" s="293" t="s">
        <v>25</v>
      </c>
      <c r="CB4" s="294" t="s">
        <v>229</v>
      </c>
      <c r="CC4" s="294" t="s">
        <v>137</v>
      </c>
      <c r="CD4" s="297" t="s">
        <v>22</v>
      </c>
      <c r="CE4" s="293" t="s">
        <v>231</v>
      </c>
      <c r="CF4" s="297" t="s">
        <v>22</v>
      </c>
      <c r="CI4" s="293" t="s">
        <v>233</v>
      </c>
      <c r="CJ4" s="295" t="s">
        <v>22</v>
      </c>
      <c r="CK4" s="293" t="s">
        <v>31</v>
      </c>
      <c r="CL4" s="294" t="s">
        <v>156</v>
      </c>
      <c r="CM4" s="294" t="s">
        <v>98</v>
      </c>
      <c r="CN4" s="294" t="s">
        <v>219</v>
      </c>
      <c r="CO4" s="294" t="s">
        <v>220</v>
      </c>
      <c r="CP4" s="294" t="s">
        <v>21</v>
      </c>
      <c r="CQ4" s="295" t="s">
        <v>22</v>
      </c>
    </row>
    <row r="5" spans="1:95" x14ac:dyDescent="0.25">
      <c r="A5" s="259"/>
      <c r="B5" s="373">
        <v>1</v>
      </c>
      <c r="C5" s="311"/>
      <c r="D5" s="211" t="s">
        <v>262</v>
      </c>
      <c r="E5" s="212" t="s">
        <v>263</v>
      </c>
      <c r="F5" s="212" t="s">
        <v>474</v>
      </c>
      <c r="G5" s="212" t="s">
        <v>475</v>
      </c>
      <c r="H5" s="213" t="s">
        <v>28</v>
      </c>
      <c r="I5" s="213"/>
      <c r="J5" s="177">
        <f t="shared" ref="J5:J25" si="0">SUM(K5:K5)+SUM(N5:N5)+SUM(T5:T5)+SUM(Z5:Z5)+SUM(AF5:AF5)+SUM(AM5:AM5)+SUM(AV5:AV5)+SUM(BF5:BF5)+SUM(BO5:BO5)+SUM(BZ5:BZ5)+SUM(CD5:CD5)+SUM(CF5:CF5)</f>
        <v>5739.7</v>
      </c>
      <c r="K5" s="123"/>
      <c r="L5" s="78"/>
      <c r="M5" s="67">
        <v>0.50069444444444444</v>
      </c>
      <c r="N5" s="118">
        <f t="shared" ref="N5:N25" si="1">IF(ISBLANK(M5),"!!!ИСКЛЮЧЕНИЕ!!!",0)</f>
        <v>0</v>
      </c>
      <c r="O5" s="76">
        <f t="shared" ref="O5:O25" si="2">КВ1Время</f>
        <v>60</v>
      </c>
      <c r="P5" s="122">
        <f t="shared" ref="P5:P25" si="3">AP5</f>
        <v>0</v>
      </c>
      <c r="Q5" s="117">
        <f t="shared" ref="Q5:Q25" si="4">M5+O5/1440</f>
        <v>0.54236111111111107</v>
      </c>
      <c r="R5" s="176">
        <v>0.54097222222222219</v>
      </c>
      <c r="S5" s="68">
        <f t="shared" ref="S5:S25" si="5">IF(NOT(ISBLANK(R5)),ROUND((R5-Q5)*1440,0),"")</f>
        <v>-2</v>
      </c>
      <c r="T5" s="118">
        <f t="shared" ref="T5:T25" si="6">IF(NOT(ISBLANK(R5)),ABS(IF(Q5&gt;R5,IF(S5=-1,0,S5*ШтрафОпережениеНаКВ),IF(S5&gt;P5,(S5-P5)*ШтрафОпозданиеНаКВ,0))),ШтрафПропускКВ)</f>
        <v>240</v>
      </c>
      <c r="U5" s="76">
        <f t="shared" ref="U5:U25" si="7">КВ2Время</f>
        <v>25</v>
      </c>
      <c r="V5" s="122">
        <v>0</v>
      </c>
      <c r="W5" s="117">
        <f t="shared" ref="W5:W25" si="8">IF(NOT(ISBLANK(AX5)),AX5+U5/1440,R5+U5/1440)</f>
        <v>0.56041666666666667</v>
      </c>
      <c r="X5" s="176">
        <v>0.55625000000000002</v>
      </c>
      <c r="Y5" s="68">
        <f t="shared" ref="Y5:Y25" si="9">IF(NOT(ISBLANK(X5)),ROUND((X5-W5)*1440,0),"")</f>
        <v>-6</v>
      </c>
      <c r="Z5" s="118">
        <f t="shared" ref="Z5:Z25" si="10">IF(NOT(ISBLANK(X5)),ABS(IF(W5&gt;X5,IF(Y5=-1,0,Y5*ШтрафОпережениеНаКВ),IF(Y5&gt;V5,(Y5-V5)*ШтрафОпозданиеНаКВ,0))),ШтрафПропускКВ)</f>
        <v>720</v>
      </c>
      <c r="AA5" s="76">
        <f t="shared" ref="AA5:AA25" si="11">КВ3Время</f>
        <v>7</v>
      </c>
      <c r="AB5" s="122">
        <v>0</v>
      </c>
      <c r="AC5" s="117">
        <f t="shared" ref="AC5:AC25" si="12">IF(NOT(ISBLANK(X5)),X5+AA5/1440,W5+AA5/1440)</f>
        <v>0.56111111111111112</v>
      </c>
      <c r="AD5" s="176"/>
      <c r="AE5" s="68" t="str">
        <f t="shared" ref="AE5:AE25" si="13">IF(NOT(ISBLANK(AD5)),ROUND((AD5-AC5)*1440,0),"")</f>
        <v/>
      </c>
      <c r="AF5" s="118">
        <f t="shared" ref="AF5:AF25" si="14">IF(NOT(ISBLANK(AD5)),ABS(IF(AC5&gt;AD5,IF(AE5=-1,0,AE5*ШтрафОпережениеНаКВ),IF(AE5&gt;AB5,(AE5-AB5)*ШтрафОпозданиеНаКВ,0))),ШтрафПропускКВ)</f>
        <v>1800</v>
      </c>
      <c r="AG5" s="76">
        <f t="shared" ref="AG5:AG25" si="15">КВ4Время</f>
        <v>70</v>
      </c>
      <c r="AH5" s="122">
        <v>0</v>
      </c>
      <c r="AI5" s="117">
        <f t="shared" ref="AI5:AI25" si="16">IF(NOT(ISBLANK(BH5)),BH5+AG5/1440,AC5+AG5/1440)</f>
        <v>0.60972222222222228</v>
      </c>
      <c r="AJ5" s="68">
        <f t="shared" ref="AJ5:AJ25" si="17">ROUNDUP(AG5/10,0)</f>
        <v>7</v>
      </c>
      <c r="AK5" s="176">
        <v>0.60416666666666663</v>
      </c>
      <c r="AL5" s="68">
        <f t="shared" ref="AL5:AL25" si="18">IF(NOT(ISBLANK(AK5)),ROUND((AK5-AI5)*1440,0),"")</f>
        <v>-8</v>
      </c>
      <c r="AM5" s="118">
        <f t="shared" ref="AM5:AM25" si="19">IF(NOT(ISBLANK(AK5)),ABS(IF(AI5&gt;AK5,IF(-AL5&lt;=AJ5,0,AL5*ШтрафОпережениеНаКВ),IF(AL5&gt;AH5,(AL5-AH5)*ШтрафОпозданиеНаКВ,0))),"!!!ИСКЛЮЧЕНИЕ!!!")</f>
        <v>960</v>
      </c>
      <c r="AN5" s="121"/>
      <c r="AO5" s="75">
        <v>0.52093749999999994</v>
      </c>
      <c r="AP5" s="72">
        <f t="shared" ref="AP5:AP25" si="20">IF(ISBLANK(AN5),0,ROUND((AO5-AN5)*1440,0))</f>
        <v>0</v>
      </c>
      <c r="AQ5" s="68">
        <f t="shared" ref="AQ5:AQ25" si="21">ДС1Время</f>
        <v>443</v>
      </c>
      <c r="AR5" s="59">
        <f t="shared" ref="AR5:AR25" si="22">AO5+AQ5/86400</f>
        <v>0.52606481481481471</v>
      </c>
      <c r="AS5" s="75">
        <v>0.52569444444444446</v>
      </c>
      <c r="AT5" s="73">
        <f t="shared" ref="AT5:AT25" si="23">ROUND((AS5-AR5)*86400,0)</f>
        <v>-32</v>
      </c>
      <c r="AU5" s="74"/>
      <c r="AV5" s="119">
        <f t="shared" ref="AV5:AV25" si="24">IF(NOT(OR(ISBLANK(AO5),ISBLANK(AS5))),ABS(AT5)*ШтрафОпережениеОтставаниеНаРД+IF(ISBLANK(AU5),0,ШтрафФальстартНаДС),ШтрафПропускДС)</f>
        <v>32</v>
      </c>
      <c r="AW5" s="121"/>
      <c r="AX5" s="70">
        <v>0.54305555555555551</v>
      </c>
      <c r="AY5" s="72">
        <f t="shared" ref="AY5:AY25" si="25">IF(ISBLANK(AW5),0,ROUND((AX5-AW5)*1440,0))</f>
        <v>0</v>
      </c>
      <c r="AZ5" s="68">
        <f t="shared" ref="AZ5:AZ25" si="26">ДС2ВремяМин</f>
        <v>478</v>
      </c>
      <c r="BA5" s="71">
        <v>950</v>
      </c>
      <c r="BB5" s="59">
        <f t="shared" ref="BB5:BB25" si="27">AX5+BA5/86400</f>
        <v>0.55405092592592586</v>
      </c>
      <c r="BC5" s="75">
        <v>0.55385416666666665</v>
      </c>
      <c r="BD5" s="73">
        <f t="shared" ref="BD5:BD25" si="28">ROUND((BC5-BB5)*86400,0)</f>
        <v>-17</v>
      </c>
      <c r="BE5" s="74"/>
      <c r="BF5" s="119">
        <f t="shared" ref="BF5:BF23" si="29">IF(NOT(OR(ISBLANK(AX5),ISBLANK(BC5))),IF(BD5&lt;0,IF(-BD5&lt;=BA5-AZ5,0,ШтрафОпережениеНаРУ),BD5*ШтрафОтставаниеНаРУ)+IF(ISBLANK(BE5),0,ШтрафФальстартНаДС),ШтрафПропускДС)</f>
        <v>0</v>
      </c>
      <c r="BG5" s="121"/>
      <c r="BH5" s="70"/>
      <c r="BI5" s="72">
        <f t="shared" ref="BI5:BI25" si="30">IF(ISBLANK(BG5),0,ROUND((BH5-BG5)*1440,0))</f>
        <v>0</v>
      </c>
      <c r="BJ5" s="68">
        <f t="shared" ref="BJ5:BJ25" si="31">ДС3Время</f>
        <v>1393</v>
      </c>
      <c r="BK5" s="59">
        <f t="shared" ref="BK5:BK25" si="32">BH5+BJ5/86400</f>
        <v>1.6122685185185184E-2</v>
      </c>
      <c r="BL5" s="75"/>
      <c r="BM5" s="73">
        <f t="shared" ref="BM5:BM25" si="33">ROUND((BL5-BK5)*86400,0)</f>
        <v>-1393</v>
      </c>
      <c r="BN5" s="74"/>
      <c r="BO5" s="119">
        <f t="shared" ref="BO5:BO13" si="34">IF(NOT(OR(ISBLANK(BH5),ISBLANK(BL5))),ABS(BM5)*ШтрафОпережениеОтставаниеНаРД+IF(ISBLANK(BN5),0,ШтрафФальстартНаДС),ШтрафПропускДС)</f>
        <v>1800</v>
      </c>
      <c r="BP5" s="121"/>
      <c r="BQ5" s="271">
        <v>0</v>
      </c>
      <c r="BR5" s="303">
        <f t="shared" ref="BR5:BR25" si="35">IF(ISBLANK(BP5),0,ROUND((BQ5-BP5)*1440,0))</f>
        <v>0</v>
      </c>
      <c r="BS5" s="304">
        <v>0</v>
      </c>
      <c r="BT5" s="175">
        <v>67.650000000000006</v>
      </c>
      <c r="BU5" s="305">
        <f t="shared" ref="BU5:BU25" si="36">ROUND(BT5-BS5,1)</f>
        <v>67.7</v>
      </c>
      <c r="BV5" s="74"/>
      <c r="BW5" s="74"/>
      <c r="BX5" s="74"/>
      <c r="BY5" s="74"/>
      <c r="BZ5" s="119">
        <f t="shared" ref="BZ5:BZ24" si="37">IF(NOT(ISBLANK(BQ5)),(BU5+IF(ISBLANK(BV5),0,ШтрафФальстартНаДС)+BW5*ШтрафСбитыйКонусНаСЛ+IF(ISBLANK(BX5),0,ШтрафНеостановкаБазойНаСЛ)+BY5*ШтрафПроездСЛНеПоСхеме)*СЛКоэффициент,ШтрафПропускДС)</f>
        <v>67.7</v>
      </c>
      <c r="CA5" s="65" t="s">
        <v>521</v>
      </c>
      <c r="CB5" s="66" t="s">
        <v>519</v>
      </c>
      <c r="CC5" s="209">
        <v>1</v>
      </c>
      <c r="CD5" s="124">
        <f t="shared" ref="CD5:CD25" si="38">CC5*ШтрафБуква</f>
        <v>120</v>
      </c>
      <c r="CE5" s="210"/>
      <c r="CF5" s="124">
        <f t="shared" ref="CF5:CF25" si="39">CE5*ШтрафВскрытыйКонверт</f>
        <v>0</v>
      </c>
      <c r="CI5" s="67" t="s">
        <v>237</v>
      </c>
      <c r="CJ5" s="118">
        <f t="shared" ref="CJ5:CJ23" si="40">IF(NOT(ISBLANK(CI5)),0,ШтрафПропускКП)</f>
        <v>0</v>
      </c>
      <c r="CK5" s="76" t="e">
        <f t="shared" ref="CK5:CK23" si="41">ROUNDDOWN(ВКВ1Расстояние/КВ3Скорость*60,0)</f>
        <v>#NAME?</v>
      </c>
      <c r="CL5" s="68" t="e">
        <f t="shared" ref="CL5:CL23" si="42">ROUNDUP(CK5/10,0)</f>
        <v>#NAME?</v>
      </c>
      <c r="CM5" s="69" t="e">
        <f t="shared" ref="CM5:CM23" si="43">IF(NOT(ISBLANK(R5)),R5+CK5/1440,Q5+CK5/1440)</f>
        <v>#NAME?</v>
      </c>
      <c r="CN5" s="77">
        <v>0.4916666666666667</v>
      </c>
      <c r="CO5" s="74"/>
      <c r="CP5" s="68" t="e">
        <f t="shared" ref="CP5:CP23" si="44">ROUND((CN5-CM5)*1440,0)</f>
        <v>#NAME?</v>
      </c>
      <c r="CQ5" s="118" t="e">
        <f t="shared" ref="CQ5:CQ23" si="45">IF(NOT(ISBLANK(CN5)),IF(CP5&gt;=0,0,IF(-CP5&lt;=CL5,0,-(CP5+CL5)*ШтрафОпережениеНаВКВ))+IF(NOT(ISBLANK(CO5)),ШтрафОтсутсвиеОтметкиНаВКВ,0),ШтрафПропускКВ)</f>
        <v>#NAME?</v>
      </c>
    </row>
    <row r="6" spans="1:95" x14ac:dyDescent="0.25">
      <c r="A6" s="259"/>
      <c r="B6" s="373">
        <v>2</v>
      </c>
      <c r="C6" s="311"/>
      <c r="D6" s="211" t="s">
        <v>131</v>
      </c>
      <c r="E6" s="212" t="s">
        <v>240</v>
      </c>
      <c r="F6" s="212" t="s">
        <v>132</v>
      </c>
      <c r="G6" s="212" t="s">
        <v>133</v>
      </c>
      <c r="H6" s="213" t="s">
        <v>28</v>
      </c>
      <c r="I6" s="213"/>
      <c r="J6" s="177">
        <f t="shared" si="0"/>
        <v>1363.1</v>
      </c>
      <c r="K6" s="123"/>
      <c r="L6" s="78"/>
      <c r="M6" s="67">
        <v>0.50138888888888888</v>
      </c>
      <c r="N6" s="118">
        <f t="shared" si="1"/>
        <v>0</v>
      </c>
      <c r="O6" s="76">
        <f t="shared" si="2"/>
        <v>60</v>
      </c>
      <c r="P6" s="122">
        <f t="shared" si="3"/>
        <v>0</v>
      </c>
      <c r="Q6" s="117">
        <f t="shared" si="4"/>
        <v>0.54305555555555551</v>
      </c>
      <c r="R6" s="176">
        <v>0.54305555555555551</v>
      </c>
      <c r="S6" s="68">
        <f t="shared" si="5"/>
        <v>0</v>
      </c>
      <c r="T6" s="118">
        <f t="shared" si="6"/>
        <v>0</v>
      </c>
      <c r="U6" s="76">
        <f t="shared" si="7"/>
        <v>25</v>
      </c>
      <c r="V6" s="122">
        <v>0</v>
      </c>
      <c r="W6" s="117">
        <f t="shared" si="8"/>
        <v>0.56180555555555556</v>
      </c>
      <c r="X6" s="176">
        <v>0.56180555555555556</v>
      </c>
      <c r="Y6" s="68">
        <f t="shared" si="9"/>
        <v>0</v>
      </c>
      <c r="Z6" s="118">
        <f t="shared" si="10"/>
        <v>0</v>
      </c>
      <c r="AA6" s="76">
        <f t="shared" si="11"/>
        <v>7</v>
      </c>
      <c r="AB6" s="122">
        <v>0</v>
      </c>
      <c r="AC6" s="117">
        <f t="shared" si="12"/>
        <v>0.56666666666666665</v>
      </c>
      <c r="AD6" s="176">
        <v>0.57361111111111118</v>
      </c>
      <c r="AE6" s="68">
        <f t="shared" si="13"/>
        <v>10</v>
      </c>
      <c r="AF6" s="118">
        <f t="shared" si="14"/>
        <v>600</v>
      </c>
      <c r="AG6" s="76">
        <f t="shared" si="15"/>
        <v>70</v>
      </c>
      <c r="AH6" s="122">
        <v>0</v>
      </c>
      <c r="AI6" s="117">
        <f t="shared" si="16"/>
        <v>0.62361111111111123</v>
      </c>
      <c r="AJ6" s="68">
        <f t="shared" si="17"/>
        <v>7</v>
      </c>
      <c r="AK6" s="176">
        <v>0.62291666666666667</v>
      </c>
      <c r="AL6" s="68">
        <f t="shared" si="18"/>
        <v>-1</v>
      </c>
      <c r="AM6" s="118">
        <f t="shared" si="19"/>
        <v>0</v>
      </c>
      <c r="AN6" s="121"/>
      <c r="AO6" s="75">
        <v>0.52105324074074078</v>
      </c>
      <c r="AP6" s="72">
        <f t="shared" si="20"/>
        <v>0</v>
      </c>
      <c r="AQ6" s="68">
        <f t="shared" si="21"/>
        <v>443</v>
      </c>
      <c r="AR6" s="59">
        <f t="shared" si="22"/>
        <v>0.52618055555555554</v>
      </c>
      <c r="AS6" s="75">
        <v>0.52711805555555558</v>
      </c>
      <c r="AT6" s="73">
        <f t="shared" si="23"/>
        <v>81</v>
      </c>
      <c r="AU6" s="74"/>
      <c r="AV6" s="119">
        <f t="shared" si="24"/>
        <v>81</v>
      </c>
      <c r="AW6" s="121"/>
      <c r="AX6" s="70">
        <v>0.5444444444444444</v>
      </c>
      <c r="AY6" s="72">
        <f t="shared" si="25"/>
        <v>0</v>
      </c>
      <c r="AZ6" s="68">
        <f t="shared" si="26"/>
        <v>478</v>
      </c>
      <c r="BA6" s="71">
        <v>950</v>
      </c>
      <c r="BB6" s="59">
        <f t="shared" si="27"/>
        <v>0.55543981481481475</v>
      </c>
      <c r="BC6" s="75">
        <v>0.552800925925926</v>
      </c>
      <c r="BD6" s="73">
        <f t="shared" si="28"/>
        <v>-228</v>
      </c>
      <c r="BE6" s="74"/>
      <c r="BF6" s="119">
        <f t="shared" si="29"/>
        <v>0</v>
      </c>
      <c r="BG6" s="121"/>
      <c r="BH6" s="70">
        <v>0.57500000000000007</v>
      </c>
      <c r="BI6" s="72">
        <f t="shared" si="30"/>
        <v>0</v>
      </c>
      <c r="BJ6" s="68">
        <f t="shared" si="31"/>
        <v>1393</v>
      </c>
      <c r="BK6" s="59">
        <f t="shared" si="32"/>
        <v>0.59112268518518529</v>
      </c>
      <c r="BL6" s="75">
        <v>0.59280092592592593</v>
      </c>
      <c r="BM6" s="73">
        <f t="shared" si="33"/>
        <v>145</v>
      </c>
      <c r="BN6" s="74"/>
      <c r="BO6" s="119">
        <f t="shared" si="34"/>
        <v>145</v>
      </c>
      <c r="BP6" s="121"/>
      <c r="BQ6" s="271">
        <v>0</v>
      </c>
      <c r="BR6" s="303">
        <f t="shared" si="35"/>
        <v>0</v>
      </c>
      <c r="BS6" s="304">
        <v>0</v>
      </c>
      <c r="BT6" s="175">
        <v>57.08</v>
      </c>
      <c r="BU6" s="305">
        <f t="shared" si="36"/>
        <v>57.1</v>
      </c>
      <c r="BV6" s="74"/>
      <c r="BW6" s="74"/>
      <c r="BX6" s="74"/>
      <c r="BY6" s="74"/>
      <c r="BZ6" s="119">
        <f t="shared" si="37"/>
        <v>57.1</v>
      </c>
      <c r="CA6" s="65" t="s">
        <v>518</v>
      </c>
      <c r="CB6" s="66" t="s">
        <v>519</v>
      </c>
      <c r="CC6" s="209">
        <v>4</v>
      </c>
      <c r="CD6" s="124">
        <f t="shared" si="38"/>
        <v>480</v>
      </c>
      <c r="CE6" s="210"/>
      <c r="CF6" s="124">
        <f t="shared" si="39"/>
        <v>0</v>
      </c>
      <c r="CI6" s="67" t="s">
        <v>237</v>
      </c>
      <c r="CJ6" s="118">
        <f t="shared" si="40"/>
        <v>0</v>
      </c>
      <c r="CK6" s="76" t="e">
        <f t="shared" si="41"/>
        <v>#NAME?</v>
      </c>
      <c r="CL6" s="68" t="e">
        <f t="shared" si="42"/>
        <v>#NAME?</v>
      </c>
      <c r="CM6" s="69" t="e">
        <f t="shared" si="43"/>
        <v>#NAME?</v>
      </c>
      <c r="CN6" s="77">
        <v>0.4916666666666667</v>
      </c>
      <c r="CO6" s="74"/>
      <c r="CP6" s="68" t="e">
        <f t="shared" si="44"/>
        <v>#NAME?</v>
      </c>
      <c r="CQ6" s="118" t="e">
        <f t="shared" si="45"/>
        <v>#NAME?</v>
      </c>
    </row>
    <row r="7" spans="1:95" x14ac:dyDescent="0.25">
      <c r="A7" s="259"/>
      <c r="B7" s="373">
        <v>3</v>
      </c>
      <c r="C7" s="311"/>
      <c r="D7" s="211" t="s">
        <v>448</v>
      </c>
      <c r="E7" s="212" t="s">
        <v>449</v>
      </c>
      <c r="F7" s="212" t="s">
        <v>450</v>
      </c>
      <c r="G7" s="212" t="s">
        <v>451</v>
      </c>
      <c r="H7" s="213" t="s">
        <v>28</v>
      </c>
      <c r="I7" s="213"/>
      <c r="J7" s="177">
        <f t="shared" si="0"/>
        <v>8249.2000000000007</v>
      </c>
      <c r="K7" s="123"/>
      <c r="L7" s="78"/>
      <c r="M7" s="67">
        <v>0.50208333333333333</v>
      </c>
      <c r="N7" s="118">
        <f t="shared" si="1"/>
        <v>0</v>
      </c>
      <c r="O7" s="76">
        <f t="shared" si="2"/>
        <v>60</v>
      </c>
      <c r="P7" s="122">
        <f t="shared" si="3"/>
        <v>0</v>
      </c>
      <c r="Q7" s="117">
        <f t="shared" si="4"/>
        <v>0.54374999999999996</v>
      </c>
      <c r="R7" s="176">
        <v>0.55833333333333335</v>
      </c>
      <c r="S7" s="68">
        <f t="shared" si="5"/>
        <v>21</v>
      </c>
      <c r="T7" s="118">
        <f t="shared" si="6"/>
        <v>1260</v>
      </c>
      <c r="U7" s="76">
        <f t="shared" si="7"/>
        <v>25</v>
      </c>
      <c r="V7" s="122">
        <v>0</v>
      </c>
      <c r="W7" s="117">
        <f t="shared" si="8"/>
        <v>0.57847222222222228</v>
      </c>
      <c r="X7" s="176"/>
      <c r="Y7" s="68" t="str">
        <f t="shared" si="9"/>
        <v/>
      </c>
      <c r="Z7" s="118">
        <f t="shared" si="10"/>
        <v>1800</v>
      </c>
      <c r="AA7" s="76">
        <f t="shared" si="11"/>
        <v>7</v>
      </c>
      <c r="AB7" s="122">
        <v>0</v>
      </c>
      <c r="AC7" s="117">
        <f t="shared" si="12"/>
        <v>0.58333333333333337</v>
      </c>
      <c r="AD7" s="176"/>
      <c r="AE7" s="68" t="str">
        <f t="shared" si="13"/>
        <v/>
      </c>
      <c r="AF7" s="118">
        <f t="shared" si="14"/>
        <v>1800</v>
      </c>
      <c r="AG7" s="76">
        <f t="shared" si="15"/>
        <v>70</v>
      </c>
      <c r="AH7" s="122">
        <v>0</v>
      </c>
      <c r="AI7" s="117">
        <f t="shared" si="16"/>
        <v>0.63194444444444453</v>
      </c>
      <c r="AJ7" s="68">
        <f t="shared" si="17"/>
        <v>7</v>
      </c>
      <c r="AK7" s="176">
        <v>0.64166666666666672</v>
      </c>
      <c r="AL7" s="68">
        <f t="shared" si="18"/>
        <v>14</v>
      </c>
      <c r="AM7" s="118">
        <f t="shared" si="19"/>
        <v>840</v>
      </c>
      <c r="AN7" s="121"/>
      <c r="AO7" s="75">
        <v>0.5242013888888889</v>
      </c>
      <c r="AP7" s="72">
        <f t="shared" si="20"/>
        <v>0</v>
      </c>
      <c r="AQ7" s="68">
        <f t="shared" si="21"/>
        <v>443</v>
      </c>
      <c r="AR7" s="59">
        <f t="shared" si="22"/>
        <v>0.52932870370370366</v>
      </c>
      <c r="AS7" s="75">
        <v>0.5294444444444445</v>
      </c>
      <c r="AT7" s="73">
        <f t="shared" si="23"/>
        <v>10</v>
      </c>
      <c r="AU7" s="74"/>
      <c r="AV7" s="119">
        <f t="shared" si="24"/>
        <v>10</v>
      </c>
      <c r="AW7" s="121"/>
      <c r="AX7" s="70">
        <v>0.56111111111111112</v>
      </c>
      <c r="AY7" s="72">
        <f t="shared" si="25"/>
        <v>0</v>
      </c>
      <c r="AZ7" s="68">
        <f t="shared" si="26"/>
        <v>478</v>
      </c>
      <c r="BA7" s="71">
        <v>950</v>
      </c>
      <c r="BB7" s="59">
        <f t="shared" si="27"/>
        <v>0.57210648148148147</v>
      </c>
      <c r="BC7" s="75">
        <v>0.55287037037037035</v>
      </c>
      <c r="BD7" s="73">
        <f t="shared" si="28"/>
        <v>-1662</v>
      </c>
      <c r="BE7" s="74"/>
      <c r="BF7" s="119">
        <f t="shared" si="29"/>
        <v>180</v>
      </c>
      <c r="BG7" s="121"/>
      <c r="BH7" s="70"/>
      <c r="BI7" s="72">
        <f t="shared" si="30"/>
        <v>0</v>
      </c>
      <c r="BJ7" s="68">
        <f t="shared" si="31"/>
        <v>1393</v>
      </c>
      <c r="BK7" s="59">
        <f t="shared" si="32"/>
        <v>1.6122685185185184E-2</v>
      </c>
      <c r="BL7" s="75"/>
      <c r="BM7" s="73">
        <f t="shared" si="33"/>
        <v>-1393</v>
      </c>
      <c r="BN7" s="74"/>
      <c r="BO7" s="119">
        <f t="shared" si="34"/>
        <v>1800</v>
      </c>
      <c r="BP7" s="121"/>
      <c r="BQ7" s="271">
        <v>0</v>
      </c>
      <c r="BR7" s="303">
        <f t="shared" si="35"/>
        <v>0</v>
      </c>
      <c r="BS7" s="304">
        <v>0</v>
      </c>
      <c r="BT7" s="375">
        <v>69.17</v>
      </c>
      <c r="BU7" s="305">
        <f t="shared" si="36"/>
        <v>69.2</v>
      </c>
      <c r="BV7" s="74"/>
      <c r="BW7" s="74">
        <v>1</v>
      </c>
      <c r="BX7" s="74"/>
      <c r="BY7" s="74"/>
      <c r="BZ7" s="119">
        <f t="shared" si="37"/>
        <v>79.2</v>
      </c>
      <c r="CA7" s="65" t="s">
        <v>518</v>
      </c>
      <c r="CB7" s="66" t="s">
        <v>519</v>
      </c>
      <c r="CC7" s="209">
        <v>4</v>
      </c>
      <c r="CD7" s="124">
        <f t="shared" si="38"/>
        <v>480</v>
      </c>
      <c r="CE7" s="210"/>
      <c r="CF7" s="124">
        <f t="shared" si="39"/>
        <v>0</v>
      </c>
      <c r="CI7" s="67" t="s">
        <v>237</v>
      </c>
      <c r="CJ7" s="118">
        <f t="shared" si="40"/>
        <v>0</v>
      </c>
      <c r="CK7" s="76" t="e">
        <f t="shared" si="41"/>
        <v>#NAME?</v>
      </c>
      <c r="CL7" s="68" t="e">
        <f t="shared" si="42"/>
        <v>#NAME?</v>
      </c>
      <c r="CM7" s="69" t="e">
        <f t="shared" si="43"/>
        <v>#NAME?</v>
      </c>
      <c r="CN7" s="77">
        <v>0.4916666666666667</v>
      </c>
      <c r="CO7" s="74"/>
      <c r="CP7" s="68" t="e">
        <f t="shared" si="44"/>
        <v>#NAME?</v>
      </c>
      <c r="CQ7" s="118" t="e">
        <f t="shared" si="45"/>
        <v>#NAME?</v>
      </c>
    </row>
    <row r="8" spans="1:95" x14ac:dyDescent="0.25">
      <c r="A8" s="259"/>
      <c r="B8" s="373">
        <v>4</v>
      </c>
      <c r="C8" s="311"/>
      <c r="D8" s="211" t="s">
        <v>461</v>
      </c>
      <c r="E8" s="212" t="s">
        <v>462</v>
      </c>
      <c r="F8" s="212" t="s">
        <v>463</v>
      </c>
      <c r="G8" s="212" t="s">
        <v>464</v>
      </c>
      <c r="H8" s="213" t="s">
        <v>28</v>
      </c>
      <c r="I8" s="213"/>
      <c r="J8" s="177">
        <f t="shared" si="0"/>
        <v>3830.1</v>
      </c>
      <c r="K8" s="123"/>
      <c r="L8" s="78"/>
      <c r="M8" s="67">
        <v>0.50277777777777777</v>
      </c>
      <c r="N8" s="118">
        <f t="shared" si="1"/>
        <v>0</v>
      </c>
      <c r="O8" s="76">
        <f t="shared" si="2"/>
        <v>60</v>
      </c>
      <c r="P8" s="122">
        <f t="shared" si="3"/>
        <v>0</v>
      </c>
      <c r="Q8" s="117">
        <f t="shared" si="4"/>
        <v>0.5444444444444444</v>
      </c>
      <c r="R8" s="176">
        <v>0.54236111111111118</v>
      </c>
      <c r="S8" s="68">
        <f t="shared" si="5"/>
        <v>-3</v>
      </c>
      <c r="T8" s="118">
        <f t="shared" si="6"/>
        <v>360</v>
      </c>
      <c r="U8" s="76">
        <f t="shared" si="7"/>
        <v>25</v>
      </c>
      <c r="V8" s="122">
        <v>0</v>
      </c>
      <c r="W8" s="117">
        <f t="shared" si="8"/>
        <v>0.56111111111111123</v>
      </c>
      <c r="X8" s="176">
        <v>0.55486111111111114</v>
      </c>
      <c r="Y8" s="68">
        <f t="shared" si="9"/>
        <v>-9</v>
      </c>
      <c r="Z8" s="118">
        <f t="shared" si="10"/>
        <v>1080</v>
      </c>
      <c r="AA8" s="76">
        <f t="shared" si="11"/>
        <v>7</v>
      </c>
      <c r="AB8" s="122">
        <v>0</v>
      </c>
      <c r="AC8" s="117">
        <f t="shared" si="12"/>
        <v>0.55972222222222223</v>
      </c>
      <c r="AD8" s="176">
        <v>0.5805555555555556</v>
      </c>
      <c r="AE8" s="68">
        <f t="shared" si="13"/>
        <v>30</v>
      </c>
      <c r="AF8" s="118">
        <f t="shared" si="14"/>
        <v>1800</v>
      </c>
      <c r="AG8" s="76">
        <f t="shared" si="15"/>
        <v>70</v>
      </c>
      <c r="AH8" s="122">
        <v>0</v>
      </c>
      <c r="AI8" s="117">
        <f t="shared" si="16"/>
        <v>0.63055555555555565</v>
      </c>
      <c r="AJ8" s="68">
        <f t="shared" si="17"/>
        <v>7</v>
      </c>
      <c r="AK8" s="176">
        <v>0.62777777777777777</v>
      </c>
      <c r="AL8" s="68">
        <f t="shared" si="18"/>
        <v>-4</v>
      </c>
      <c r="AM8" s="118">
        <f t="shared" si="19"/>
        <v>0</v>
      </c>
      <c r="AN8" s="121"/>
      <c r="AO8" s="75">
        <v>0.52650462962962963</v>
      </c>
      <c r="AP8" s="72">
        <f t="shared" si="20"/>
        <v>0</v>
      </c>
      <c r="AQ8" s="68">
        <f t="shared" si="21"/>
        <v>443</v>
      </c>
      <c r="AR8" s="59">
        <f t="shared" si="22"/>
        <v>0.53163194444444439</v>
      </c>
      <c r="AS8" s="75">
        <v>0.5320138888888889</v>
      </c>
      <c r="AT8" s="73">
        <f t="shared" si="23"/>
        <v>33</v>
      </c>
      <c r="AU8" s="74"/>
      <c r="AV8" s="119">
        <f t="shared" si="24"/>
        <v>33</v>
      </c>
      <c r="AW8" s="121"/>
      <c r="AX8" s="70">
        <v>0.54375000000000007</v>
      </c>
      <c r="AY8" s="72">
        <f t="shared" si="25"/>
        <v>0</v>
      </c>
      <c r="AZ8" s="68">
        <f t="shared" si="26"/>
        <v>478</v>
      </c>
      <c r="BA8" s="71">
        <v>950</v>
      </c>
      <c r="BB8" s="59">
        <f t="shared" si="27"/>
        <v>0.55474537037037042</v>
      </c>
      <c r="BC8" s="75">
        <v>0.55393518518518514</v>
      </c>
      <c r="BD8" s="73">
        <f t="shared" si="28"/>
        <v>-70</v>
      </c>
      <c r="BE8" s="74"/>
      <c r="BF8" s="119">
        <f t="shared" si="29"/>
        <v>0</v>
      </c>
      <c r="BG8" s="121"/>
      <c r="BH8" s="70">
        <v>0.58194444444444449</v>
      </c>
      <c r="BI8" s="72">
        <f t="shared" si="30"/>
        <v>0</v>
      </c>
      <c r="BJ8" s="68">
        <f t="shared" si="31"/>
        <v>1393</v>
      </c>
      <c r="BK8" s="59">
        <f t="shared" si="32"/>
        <v>0.59806712962962971</v>
      </c>
      <c r="BL8" s="75">
        <v>0.60086805555555556</v>
      </c>
      <c r="BM8" s="73">
        <f t="shared" si="33"/>
        <v>242</v>
      </c>
      <c r="BN8" s="74"/>
      <c r="BO8" s="119">
        <f t="shared" si="34"/>
        <v>242</v>
      </c>
      <c r="BP8" s="121"/>
      <c r="BQ8" s="271">
        <v>0</v>
      </c>
      <c r="BR8" s="303">
        <f t="shared" si="35"/>
        <v>0</v>
      </c>
      <c r="BS8" s="304">
        <v>0</v>
      </c>
      <c r="BT8" s="175">
        <v>75.08</v>
      </c>
      <c r="BU8" s="305">
        <f t="shared" si="36"/>
        <v>75.099999999999994</v>
      </c>
      <c r="BV8" s="74"/>
      <c r="BW8" s="74"/>
      <c r="BX8" s="74"/>
      <c r="BY8" s="74"/>
      <c r="BZ8" s="119">
        <f t="shared" si="37"/>
        <v>75.099999999999994</v>
      </c>
      <c r="CA8" s="65" t="s">
        <v>528</v>
      </c>
      <c r="CB8" s="66" t="s">
        <v>519</v>
      </c>
      <c r="CC8" s="209">
        <v>2</v>
      </c>
      <c r="CD8" s="124">
        <f t="shared" si="38"/>
        <v>240</v>
      </c>
      <c r="CE8" s="210"/>
      <c r="CF8" s="124">
        <f t="shared" si="39"/>
        <v>0</v>
      </c>
      <c r="CI8" s="67" t="s">
        <v>237</v>
      </c>
      <c r="CJ8" s="118">
        <f t="shared" si="40"/>
        <v>0</v>
      </c>
      <c r="CK8" s="76" t="e">
        <f t="shared" si="41"/>
        <v>#NAME?</v>
      </c>
      <c r="CL8" s="68" t="e">
        <f t="shared" si="42"/>
        <v>#NAME?</v>
      </c>
      <c r="CM8" s="69" t="e">
        <f t="shared" si="43"/>
        <v>#NAME?</v>
      </c>
      <c r="CN8" s="77">
        <v>0.4916666666666667</v>
      </c>
      <c r="CO8" s="74"/>
      <c r="CP8" s="68" t="e">
        <f t="shared" si="44"/>
        <v>#NAME?</v>
      </c>
      <c r="CQ8" s="118" t="e">
        <f t="shared" si="45"/>
        <v>#NAME?</v>
      </c>
    </row>
    <row r="9" spans="1:95" x14ac:dyDescent="0.25">
      <c r="A9" s="259"/>
      <c r="B9" s="373">
        <v>5</v>
      </c>
      <c r="C9" s="311"/>
      <c r="D9" s="211" t="s">
        <v>473</v>
      </c>
      <c r="E9" s="212" t="s">
        <v>256</v>
      </c>
      <c r="F9" s="212" t="s">
        <v>471</v>
      </c>
      <c r="G9" s="212" t="s">
        <v>472</v>
      </c>
      <c r="H9" s="213" t="s">
        <v>28</v>
      </c>
      <c r="I9" s="213"/>
      <c r="J9" s="177">
        <f t="shared" si="0"/>
        <v>3737.5</v>
      </c>
      <c r="K9" s="123"/>
      <c r="L9" s="78"/>
      <c r="M9" s="67">
        <v>0.50347222222222221</v>
      </c>
      <c r="N9" s="118">
        <f t="shared" si="1"/>
        <v>0</v>
      </c>
      <c r="O9" s="76">
        <f t="shared" si="2"/>
        <v>60</v>
      </c>
      <c r="P9" s="122">
        <f t="shared" si="3"/>
        <v>0</v>
      </c>
      <c r="Q9" s="117">
        <f t="shared" si="4"/>
        <v>0.54513888888888884</v>
      </c>
      <c r="R9" s="176">
        <v>0.5708333333333333</v>
      </c>
      <c r="S9" s="68">
        <f t="shared" si="5"/>
        <v>37</v>
      </c>
      <c r="T9" s="118">
        <f t="shared" si="6"/>
        <v>2220</v>
      </c>
      <c r="U9" s="76">
        <f t="shared" si="7"/>
        <v>25</v>
      </c>
      <c r="V9" s="122">
        <v>0</v>
      </c>
      <c r="W9" s="117">
        <f t="shared" si="8"/>
        <v>0.58958333333333335</v>
      </c>
      <c r="X9" s="176">
        <v>0.58958333333333335</v>
      </c>
      <c r="Y9" s="68">
        <f t="shared" si="9"/>
        <v>0</v>
      </c>
      <c r="Z9" s="118">
        <f t="shared" si="10"/>
        <v>0</v>
      </c>
      <c r="AA9" s="76">
        <f t="shared" si="11"/>
        <v>7</v>
      </c>
      <c r="AB9" s="122">
        <v>0</v>
      </c>
      <c r="AC9" s="117">
        <f t="shared" si="12"/>
        <v>0.59444444444444444</v>
      </c>
      <c r="AD9" s="176">
        <v>0.60138888888888886</v>
      </c>
      <c r="AE9" s="68">
        <f t="shared" si="13"/>
        <v>10</v>
      </c>
      <c r="AF9" s="118">
        <f t="shared" si="14"/>
        <v>600</v>
      </c>
      <c r="AG9" s="76">
        <f t="shared" si="15"/>
        <v>70</v>
      </c>
      <c r="AH9" s="122">
        <v>0</v>
      </c>
      <c r="AI9" s="117">
        <f t="shared" si="16"/>
        <v>0.65138888888888891</v>
      </c>
      <c r="AJ9" s="68">
        <f t="shared" si="17"/>
        <v>7</v>
      </c>
      <c r="AK9" s="176">
        <v>0.65</v>
      </c>
      <c r="AL9" s="68">
        <f t="shared" si="18"/>
        <v>-2</v>
      </c>
      <c r="AM9" s="118">
        <f t="shared" si="19"/>
        <v>0</v>
      </c>
      <c r="AN9" s="121"/>
      <c r="AO9" s="75">
        <v>0.55944444444444441</v>
      </c>
      <c r="AP9" s="72">
        <f t="shared" si="20"/>
        <v>0</v>
      </c>
      <c r="AQ9" s="68">
        <f t="shared" si="21"/>
        <v>443</v>
      </c>
      <c r="AR9" s="59">
        <f t="shared" si="22"/>
        <v>0.56457175925925918</v>
      </c>
      <c r="AS9" s="75">
        <v>0.56469907407407405</v>
      </c>
      <c r="AT9" s="73">
        <f t="shared" si="23"/>
        <v>11</v>
      </c>
      <c r="AU9" s="74"/>
      <c r="AV9" s="119">
        <f t="shared" si="24"/>
        <v>11</v>
      </c>
      <c r="AW9" s="121"/>
      <c r="AX9" s="70">
        <v>0.57222222222222219</v>
      </c>
      <c r="AY9" s="72">
        <f t="shared" si="25"/>
        <v>0</v>
      </c>
      <c r="AZ9" s="68">
        <f t="shared" si="26"/>
        <v>478</v>
      </c>
      <c r="BA9" s="71">
        <v>950</v>
      </c>
      <c r="BB9" s="59">
        <f t="shared" si="27"/>
        <v>0.58321759259259254</v>
      </c>
      <c r="BC9" s="75">
        <v>0.58634259259259258</v>
      </c>
      <c r="BD9" s="73">
        <f t="shared" si="28"/>
        <v>270</v>
      </c>
      <c r="BE9" s="74"/>
      <c r="BF9" s="119">
        <f t="shared" si="29"/>
        <v>270</v>
      </c>
      <c r="BG9" s="121"/>
      <c r="BH9" s="70">
        <v>0.60277777777777775</v>
      </c>
      <c r="BI9" s="72">
        <f t="shared" si="30"/>
        <v>0</v>
      </c>
      <c r="BJ9" s="68">
        <f t="shared" si="31"/>
        <v>1393</v>
      </c>
      <c r="BK9" s="59">
        <f t="shared" si="32"/>
        <v>0.61890046296296297</v>
      </c>
      <c r="BL9" s="371">
        <v>0.62395833333333328</v>
      </c>
      <c r="BM9" s="73">
        <f t="shared" si="33"/>
        <v>437</v>
      </c>
      <c r="BN9" s="74"/>
      <c r="BO9" s="119">
        <f t="shared" si="34"/>
        <v>437</v>
      </c>
      <c r="BP9" s="121"/>
      <c r="BQ9" s="271">
        <v>0</v>
      </c>
      <c r="BR9" s="303">
        <f t="shared" si="35"/>
        <v>0</v>
      </c>
      <c r="BS9" s="304">
        <v>0</v>
      </c>
      <c r="BT9" s="175">
        <v>59.47</v>
      </c>
      <c r="BU9" s="305">
        <f t="shared" si="36"/>
        <v>59.5</v>
      </c>
      <c r="BV9" s="74"/>
      <c r="BW9" s="74">
        <v>2</v>
      </c>
      <c r="BX9" s="74"/>
      <c r="BY9" s="74"/>
      <c r="BZ9" s="119">
        <f t="shared" si="37"/>
        <v>79.5</v>
      </c>
      <c r="CA9" s="65" t="s">
        <v>527</v>
      </c>
      <c r="CB9" s="66" t="s">
        <v>519</v>
      </c>
      <c r="CC9" s="209">
        <v>1</v>
      </c>
      <c r="CD9" s="124">
        <f t="shared" si="38"/>
        <v>120</v>
      </c>
      <c r="CE9" s="210"/>
      <c r="CF9" s="124">
        <f t="shared" si="39"/>
        <v>0</v>
      </c>
      <c r="CI9" s="67" t="s">
        <v>237</v>
      </c>
      <c r="CJ9" s="118">
        <f t="shared" si="40"/>
        <v>0</v>
      </c>
      <c r="CK9" s="76" t="e">
        <f t="shared" si="41"/>
        <v>#NAME?</v>
      </c>
      <c r="CL9" s="68" t="e">
        <f t="shared" si="42"/>
        <v>#NAME?</v>
      </c>
      <c r="CM9" s="69" t="e">
        <f t="shared" si="43"/>
        <v>#NAME?</v>
      </c>
      <c r="CN9" s="77">
        <v>0.4916666666666667</v>
      </c>
      <c r="CO9" s="74"/>
      <c r="CP9" s="68" t="e">
        <f t="shared" si="44"/>
        <v>#NAME?</v>
      </c>
      <c r="CQ9" s="118" t="e">
        <f t="shared" si="45"/>
        <v>#NAME?</v>
      </c>
    </row>
    <row r="10" spans="1:95" x14ac:dyDescent="0.25">
      <c r="A10" s="259"/>
      <c r="B10" s="373">
        <v>7</v>
      </c>
      <c r="C10" s="311"/>
      <c r="D10" s="211" t="s">
        <v>108</v>
      </c>
      <c r="E10" s="212" t="s">
        <v>245</v>
      </c>
      <c r="F10" s="212" t="s">
        <v>109</v>
      </c>
      <c r="G10" s="212" t="s">
        <v>74</v>
      </c>
      <c r="H10" s="213" t="s">
        <v>28</v>
      </c>
      <c r="I10" s="213"/>
      <c r="J10" s="177">
        <f t="shared" si="0"/>
        <v>2593</v>
      </c>
      <c r="K10" s="123"/>
      <c r="L10" s="78"/>
      <c r="M10" s="67">
        <v>0.50486111111111109</v>
      </c>
      <c r="N10" s="118">
        <f t="shared" si="1"/>
        <v>0</v>
      </c>
      <c r="O10" s="76">
        <f t="shared" si="2"/>
        <v>60</v>
      </c>
      <c r="P10" s="122">
        <f t="shared" si="3"/>
        <v>0</v>
      </c>
      <c r="Q10" s="117">
        <f t="shared" si="4"/>
        <v>0.54652777777777772</v>
      </c>
      <c r="R10" s="176">
        <v>0.54583333333333328</v>
      </c>
      <c r="S10" s="68">
        <f t="shared" si="5"/>
        <v>-1</v>
      </c>
      <c r="T10" s="118">
        <f t="shared" si="6"/>
        <v>0</v>
      </c>
      <c r="U10" s="76">
        <f t="shared" si="7"/>
        <v>25</v>
      </c>
      <c r="V10" s="122">
        <v>0</v>
      </c>
      <c r="W10" s="117">
        <f t="shared" si="8"/>
        <v>0.56388888888888899</v>
      </c>
      <c r="X10" s="176">
        <v>0.56388888888888888</v>
      </c>
      <c r="Y10" s="68">
        <f t="shared" si="9"/>
        <v>0</v>
      </c>
      <c r="Z10" s="118">
        <f t="shared" si="10"/>
        <v>0</v>
      </c>
      <c r="AA10" s="76">
        <f t="shared" si="11"/>
        <v>7</v>
      </c>
      <c r="AB10" s="122">
        <v>0</v>
      </c>
      <c r="AC10" s="117">
        <f t="shared" si="12"/>
        <v>0.56874999999999998</v>
      </c>
      <c r="AD10" s="176">
        <v>0.56944444444444442</v>
      </c>
      <c r="AE10" s="68">
        <f t="shared" si="13"/>
        <v>1</v>
      </c>
      <c r="AF10" s="118">
        <f t="shared" si="14"/>
        <v>60</v>
      </c>
      <c r="AG10" s="76">
        <f t="shared" si="15"/>
        <v>70</v>
      </c>
      <c r="AH10" s="122">
        <v>0</v>
      </c>
      <c r="AI10" s="117">
        <f t="shared" si="16"/>
        <v>0.61875000000000002</v>
      </c>
      <c r="AJ10" s="68">
        <f t="shared" si="17"/>
        <v>7</v>
      </c>
      <c r="AK10" s="176">
        <v>0.62361111111111112</v>
      </c>
      <c r="AL10" s="68">
        <f t="shared" si="18"/>
        <v>7</v>
      </c>
      <c r="AM10" s="118">
        <f t="shared" si="19"/>
        <v>420</v>
      </c>
      <c r="AN10" s="121"/>
      <c r="AO10" s="75">
        <v>0.5244212962962963</v>
      </c>
      <c r="AP10" s="72">
        <f t="shared" si="20"/>
        <v>0</v>
      </c>
      <c r="AQ10" s="68">
        <f t="shared" si="21"/>
        <v>443</v>
      </c>
      <c r="AR10" s="59">
        <f t="shared" si="22"/>
        <v>0.52954861111111107</v>
      </c>
      <c r="AS10" s="75">
        <v>0.52949074074074076</v>
      </c>
      <c r="AT10" s="73">
        <f t="shared" si="23"/>
        <v>-5</v>
      </c>
      <c r="AU10" s="74"/>
      <c r="AV10" s="119">
        <f t="shared" si="24"/>
        <v>5</v>
      </c>
      <c r="AW10" s="121"/>
      <c r="AX10" s="70">
        <v>0.54652777777777783</v>
      </c>
      <c r="AY10" s="72">
        <f t="shared" si="25"/>
        <v>0</v>
      </c>
      <c r="AZ10" s="68">
        <f t="shared" si="26"/>
        <v>478</v>
      </c>
      <c r="BA10" s="71">
        <v>950</v>
      </c>
      <c r="BB10" s="59">
        <f t="shared" si="27"/>
        <v>0.55752314814814818</v>
      </c>
      <c r="BC10" s="75">
        <v>0.55774305555555559</v>
      </c>
      <c r="BD10" s="73">
        <f t="shared" si="28"/>
        <v>19</v>
      </c>
      <c r="BE10" s="74"/>
      <c r="BF10" s="119">
        <f t="shared" si="29"/>
        <v>19</v>
      </c>
      <c r="BG10" s="121"/>
      <c r="BH10" s="70">
        <v>0.57013888888888886</v>
      </c>
      <c r="BI10" s="72">
        <f t="shared" si="30"/>
        <v>0</v>
      </c>
      <c r="BJ10" s="68">
        <f t="shared" si="31"/>
        <v>1393</v>
      </c>
      <c r="BK10" s="59">
        <f t="shared" si="32"/>
        <v>0.58626157407407409</v>
      </c>
      <c r="BL10" s="75">
        <v>0.6039930555555556</v>
      </c>
      <c r="BM10" s="73">
        <f t="shared" si="33"/>
        <v>1532</v>
      </c>
      <c r="BN10" s="74"/>
      <c r="BO10" s="119">
        <f t="shared" si="34"/>
        <v>1532</v>
      </c>
      <c r="BP10" s="121"/>
      <c r="BQ10" s="271">
        <v>0</v>
      </c>
      <c r="BR10" s="303">
        <f t="shared" si="35"/>
        <v>0</v>
      </c>
      <c r="BS10" s="304">
        <v>0</v>
      </c>
      <c r="BT10" s="175">
        <v>76.98</v>
      </c>
      <c r="BU10" s="305">
        <f t="shared" si="36"/>
        <v>77</v>
      </c>
      <c r="BV10" s="74"/>
      <c r="BW10" s="74"/>
      <c r="BX10" s="74"/>
      <c r="BY10" s="74"/>
      <c r="BZ10" s="119">
        <f t="shared" si="37"/>
        <v>77</v>
      </c>
      <c r="CA10" s="65" t="s">
        <v>518</v>
      </c>
      <c r="CB10" s="66" t="s">
        <v>519</v>
      </c>
      <c r="CC10" s="209">
        <v>4</v>
      </c>
      <c r="CD10" s="124">
        <f t="shared" si="38"/>
        <v>480</v>
      </c>
      <c r="CE10" s="210"/>
      <c r="CF10" s="124">
        <f t="shared" si="39"/>
        <v>0</v>
      </c>
      <c r="CI10" s="67" t="s">
        <v>237</v>
      </c>
      <c r="CJ10" s="118">
        <f t="shared" si="40"/>
        <v>0</v>
      </c>
      <c r="CK10" s="76" t="e">
        <f t="shared" si="41"/>
        <v>#NAME?</v>
      </c>
      <c r="CL10" s="68" t="e">
        <f t="shared" si="42"/>
        <v>#NAME?</v>
      </c>
      <c r="CM10" s="69" t="e">
        <f t="shared" si="43"/>
        <v>#NAME?</v>
      </c>
      <c r="CN10" s="77">
        <v>0.4916666666666667</v>
      </c>
      <c r="CO10" s="74"/>
      <c r="CP10" s="68" t="e">
        <f t="shared" si="44"/>
        <v>#NAME?</v>
      </c>
      <c r="CQ10" s="118" t="e">
        <f t="shared" si="45"/>
        <v>#NAME?</v>
      </c>
    </row>
    <row r="11" spans="1:95" x14ac:dyDescent="0.25">
      <c r="A11" s="259"/>
      <c r="B11" s="373">
        <v>8</v>
      </c>
      <c r="C11" s="311"/>
      <c r="D11" s="211" t="s">
        <v>114</v>
      </c>
      <c r="E11" s="212" t="s">
        <v>103</v>
      </c>
      <c r="F11" s="212" t="s">
        <v>115</v>
      </c>
      <c r="G11" s="212" t="s">
        <v>116</v>
      </c>
      <c r="H11" s="213" t="s">
        <v>28</v>
      </c>
      <c r="I11" s="213"/>
      <c r="J11" s="177">
        <f t="shared" si="0"/>
        <v>488.3</v>
      </c>
      <c r="K11" s="123"/>
      <c r="L11" s="78"/>
      <c r="M11" s="67">
        <v>0.50555555555555554</v>
      </c>
      <c r="N11" s="118">
        <f t="shared" si="1"/>
        <v>0</v>
      </c>
      <c r="O11" s="76">
        <f t="shared" si="2"/>
        <v>60</v>
      </c>
      <c r="P11" s="122">
        <f t="shared" si="3"/>
        <v>0</v>
      </c>
      <c r="Q11" s="117">
        <f t="shared" si="4"/>
        <v>0.54722222222222217</v>
      </c>
      <c r="R11" s="176">
        <v>0.54722222222222217</v>
      </c>
      <c r="S11" s="68">
        <f t="shared" si="5"/>
        <v>0</v>
      </c>
      <c r="T11" s="118">
        <f t="shared" si="6"/>
        <v>0</v>
      </c>
      <c r="U11" s="76">
        <f t="shared" si="7"/>
        <v>25</v>
      </c>
      <c r="V11" s="122">
        <v>0</v>
      </c>
      <c r="W11" s="117">
        <f t="shared" si="8"/>
        <v>0.56666666666666676</v>
      </c>
      <c r="X11" s="176">
        <v>0.56666666666666665</v>
      </c>
      <c r="Y11" s="68">
        <f t="shared" si="9"/>
        <v>0</v>
      </c>
      <c r="Z11" s="118">
        <f t="shared" si="10"/>
        <v>0</v>
      </c>
      <c r="AA11" s="76">
        <f t="shared" si="11"/>
        <v>7</v>
      </c>
      <c r="AB11" s="122">
        <v>0</v>
      </c>
      <c r="AC11" s="117">
        <f t="shared" si="12"/>
        <v>0.57152777777777775</v>
      </c>
      <c r="AD11" s="176">
        <v>0.57152777777777775</v>
      </c>
      <c r="AE11" s="68">
        <f t="shared" si="13"/>
        <v>0</v>
      </c>
      <c r="AF11" s="118">
        <f t="shared" si="14"/>
        <v>0</v>
      </c>
      <c r="AG11" s="76">
        <f t="shared" si="15"/>
        <v>70</v>
      </c>
      <c r="AH11" s="122">
        <v>0</v>
      </c>
      <c r="AI11" s="117">
        <f t="shared" si="16"/>
        <v>0.62083333333333335</v>
      </c>
      <c r="AJ11" s="68">
        <f t="shared" si="17"/>
        <v>7</v>
      </c>
      <c r="AK11" s="176">
        <v>0.62083333333333335</v>
      </c>
      <c r="AL11" s="68">
        <f t="shared" si="18"/>
        <v>0</v>
      </c>
      <c r="AM11" s="118">
        <f t="shared" si="19"/>
        <v>0</v>
      </c>
      <c r="AN11" s="121"/>
      <c r="AO11" s="75">
        <v>0.5269328703703704</v>
      </c>
      <c r="AP11" s="72">
        <f t="shared" si="20"/>
        <v>0</v>
      </c>
      <c r="AQ11" s="68">
        <f t="shared" si="21"/>
        <v>443</v>
      </c>
      <c r="AR11" s="59">
        <f t="shared" si="22"/>
        <v>0.53206018518518516</v>
      </c>
      <c r="AS11" s="75">
        <v>0.53221064814814811</v>
      </c>
      <c r="AT11" s="73">
        <f t="shared" si="23"/>
        <v>13</v>
      </c>
      <c r="AU11" s="74"/>
      <c r="AV11" s="119">
        <f t="shared" si="24"/>
        <v>13</v>
      </c>
      <c r="AW11" s="121"/>
      <c r="AX11" s="70">
        <v>0.5493055555555556</v>
      </c>
      <c r="AY11" s="72">
        <f t="shared" si="25"/>
        <v>0</v>
      </c>
      <c r="AZ11" s="68">
        <f t="shared" si="26"/>
        <v>478</v>
      </c>
      <c r="BA11" s="71">
        <v>950</v>
      </c>
      <c r="BB11" s="59">
        <f t="shared" si="27"/>
        <v>0.56030092592592595</v>
      </c>
      <c r="BC11" s="75">
        <v>0.55858796296296298</v>
      </c>
      <c r="BD11" s="73">
        <f t="shared" si="28"/>
        <v>-148</v>
      </c>
      <c r="BE11" s="74"/>
      <c r="BF11" s="119">
        <f t="shared" si="29"/>
        <v>0</v>
      </c>
      <c r="BG11" s="121"/>
      <c r="BH11" s="70">
        <v>0.57222222222222219</v>
      </c>
      <c r="BI11" s="72">
        <f t="shared" si="30"/>
        <v>0</v>
      </c>
      <c r="BJ11" s="68">
        <f t="shared" si="31"/>
        <v>1393</v>
      </c>
      <c r="BK11" s="59">
        <f t="shared" si="32"/>
        <v>0.58834490740740741</v>
      </c>
      <c r="BL11" s="75">
        <v>0.59033564814814821</v>
      </c>
      <c r="BM11" s="73">
        <f t="shared" si="33"/>
        <v>172</v>
      </c>
      <c r="BN11" s="74"/>
      <c r="BO11" s="119">
        <f t="shared" si="34"/>
        <v>172</v>
      </c>
      <c r="BP11" s="121"/>
      <c r="BQ11" s="271">
        <v>0</v>
      </c>
      <c r="BR11" s="303">
        <f t="shared" si="35"/>
        <v>0</v>
      </c>
      <c r="BS11" s="304">
        <v>0</v>
      </c>
      <c r="BT11" s="175">
        <v>63.28</v>
      </c>
      <c r="BU11" s="305">
        <f t="shared" si="36"/>
        <v>63.3</v>
      </c>
      <c r="BV11" s="74"/>
      <c r="BW11" s="74"/>
      <c r="BX11" s="74"/>
      <c r="BY11" s="74"/>
      <c r="BZ11" s="119">
        <f t="shared" si="37"/>
        <v>63.3</v>
      </c>
      <c r="CA11" s="65" t="s">
        <v>523</v>
      </c>
      <c r="CB11" s="66" t="s">
        <v>519</v>
      </c>
      <c r="CC11" s="209">
        <v>2</v>
      </c>
      <c r="CD11" s="124">
        <f t="shared" si="38"/>
        <v>240</v>
      </c>
      <c r="CE11" s="210"/>
      <c r="CF11" s="124">
        <f t="shared" si="39"/>
        <v>0</v>
      </c>
      <c r="CI11" s="67" t="s">
        <v>237</v>
      </c>
      <c r="CJ11" s="118">
        <f t="shared" si="40"/>
        <v>0</v>
      </c>
      <c r="CK11" s="76" t="e">
        <f t="shared" si="41"/>
        <v>#NAME?</v>
      </c>
      <c r="CL11" s="68" t="e">
        <f t="shared" si="42"/>
        <v>#NAME?</v>
      </c>
      <c r="CM11" s="69" t="e">
        <f t="shared" si="43"/>
        <v>#NAME?</v>
      </c>
      <c r="CN11" s="77">
        <v>0.4916666666666667</v>
      </c>
      <c r="CO11" s="74"/>
      <c r="CP11" s="68" t="e">
        <f t="shared" si="44"/>
        <v>#NAME?</v>
      </c>
      <c r="CQ11" s="118" t="e">
        <f t="shared" si="45"/>
        <v>#NAME?</v>
      </c>
    </row>
    <row r="12" spans="1:95" x14ac:dyDescent="0.25">
      <c r="A12" s="259"/>
      <c r="B12" s="373">
        <v>9</v>
      </c>
      <c r="C12" s="311"/>
      <c r="D12" s="211" t="s">
        <v>246</v>
      </c>
      <c r="E12" s="212" t="s">
        <v>442</v>
      </c>
      <c r="F12" s="212" t="s">
        <v>248</v>
      </c>
      <c r="G12" s="212" t="s">
        <v>247</v>
      </c>
      <c r="H12" s="213" t="s">
        <v>28</v>
      </c>
      <c r="I12" s="213"/>
      <c r="J12" s="177">
        <f t="shared" si="0"/>
        <v>805.7</v>
      </c>
      <c r="K12" s="123"/>
      <c r="L12" s="78"/>
      <c r="M12" s="67">
        <v>0.50624999999999998</v>
      </c>
      <c r="N12" s="118">
        <f t="shared" si="1"/>
        <v>0</v>
      </c>
      <c r="O12" s="76">
        <f t="shared" si="2"/>
        <v>60</v>
      </c>
      <c r="P12" s="122">
        <f t="shared" si="3"/>
        <v>0</v>
      </c>
      <c r="Q12" s="117">
        <f t="shared" si="4"/>
        <v>0.54791666666666661</v>
      </c>
      <c r="R12" s="176">
        <v>0.54722222222222217</v>
      </c>
      <c r="S12" s="68">
        <f t="shared" si="5"/>
        <v>-1</v>
      </c>
      <c r="T12" s="118">
        <f t="shared" si="6"/>
        <v>0</v>
      </c>
      <c r="U12" s="76">
        <f t="shared" si="7"/>
        <v>25</v>
      </c>
      <c r="V12" s="122">
        <v>0</v>
      </c>
      <c r="W12" s="117">
        <f t="shared" si="8"/>
        <v>0.56597222222222221</v>
      </c>
      <c r="X12" s="176">
        <v>0.56458333333333333</v>
      </c>
      <c r="Y12" s="68">
        <f t="shared" si="9"/>
        <v>-2</v>
      </c>
      <c r="Z12" s="118">
        <f t="shared" si="10"/>
        <v>240</v>
      </c>
      <c r="AA12" s="76">
        <f t="shared" si="11"/>
        <v>7</v>
      </c>
      <c r="AB12" s="122">
        <v>0</v>
      </c>
      <c r="AC12" s="117">
        <f t="shared" si="12"/>
        <v>0.56944444444444442</v>
      </c>
      <c r="AD12" s="176">
        <v>0.57361111111111118</v>
      </c>
      <c r="AE12" s="68">
        <f t="shared" si="13"/>
        <v>6</v>
      </c>
      <c r="AF12" s="118">
        <f t="shared" si="14"/>
        <v>360</v>
      </c>
      <c r="AG12" s="76">
        <f t="shared" si="15"/>
        <v>70</v>
      </c>
      <c r="AH12" s="122">
        <v>0</v>
      </c>
      <c r="AI12" s="117">
        <f t="shared" si="16"/>
        <v>0.62430555555555556</v>
      </c>
      <c r="AJ12" s="68">
        <f t="shared" si="17"/>
        <v>7</v>
      </c>
      <c r="AK12" s="176">
        <v>0.62152777777777779</v>
      </c>
      <c r="AL12" s="68">
        <f t="shared" si="18"/>
        <v>-4</v>
      </c>
      <c r="AM12" s="118">
        <f t="shared" si="19"/>
        <v>0</v>
      </c>
      <c r="AN12" s="121"/>
      <c r="AO12" s="75">
        <v>0.52444444444444438</v>
      </c>
      <c r="AP12" s="72">
        <f t="shared" si="20"/>
        <v>0</v>
      </c>
      <c r="AQ12" s="68">
        <f t="shared" si="21"/>
        <v>443</v>
      </c>
      <c r="AR12" s="59">
        <f t="shared" si="22"/>
        <v>0.52957175925925914</v>
      </c>
      <c r="AS12" s="75">
        <v>0.52952546296296299</v>
      </c>
      <c r="AT12" s="73">
        <f t="shared" si="23"/>
        <v>-4</v>
      </c>
      <c r="AU12" s="74"/>
      <c r="AV12" s="119">
        <f t="shared" si="24"/>
        <v>4</v>
      </c>
      <c r="AW12" s="121"/>
      <c r="AX12" s="70">
        <v>0.54861111111111105</v>
      </c>
      <c r="AY12" s="72">
        <f t="shared" si="25"/>
        <v>0</v>
      </c>
      <c r="AZ12" s="68">
        <f t="shared" si="26"/>
        <v>478</v>
      </c>
      <c r="BA12" s="71">
        <v>950</v>
      </c>
      <c r="BB12" s="59">
        <f t="shared" si="27"/>
        <v>0.5596064814814814</v>
      </c>
      <c r="BC12" s="75">
        <v>0.55982638888888892</v>
      </c>
      <c r="BD12" s="73">
        <f t="shared" si="28"/>
        <v>19</v>
      </c>
      <c r="BE12" s="74"/>
      <c r="BF12" s="119">
        <f t="shared" si="29"/>
        <v>19</v>
      </c>
      <c r="BG12" s="121"/>
      <c r="BH12" s="70">
        <v>0.5756944444444444</v>
      </c>
      <c r="BI12" s="72">
        <f t="shared" si="30"/>
        <v>0</v>
      </c>
      <c r="BJ12" s="68">
        <f t="shared" si="31"/>
        <v>1393</v>
      </c>
      <c r="BK12" s="59">
        <f t="shared" si="32"/>
        <v>0.59181712962962962</v>
      </c>
      <c r="BL12" s="75">
        <v>0.59035879629629628</v>
      </c>
      <c r="BM12" s="73">
        <f t="shared" si="33"/>
        <v>-126</v>
      </c>
      <c r="BN12" s="74"/>
      <c r="BO12" s="119">
        <f t="shared" si="34"/>
        <v>126</v>
      </c>
      <c r="BP12" s="121"/>
      <c r="BQ12" s="271">
        <v>0</v>
      </c>
      <c r="BR12" s="303">
        <f t="shared" si="35"/>
        <v>0</v>
      </c>
      <c r="BS12" s="304">
        <v>0</v>
      </c>
      <c r="BT12" s="175">
        <v>56.7</v>
      </c>
      <c r="BU12" s="305">
        <f t="shared" si="36"/>
        <v>56.7</v>
      </c>
      <c r="BV12" s="74"/>
      <c r="BW12" s="74"/>
      <c r="BX12" s="74"/>
      <c r="BY12" s="74"/>
      <c r="BZ12" s="119">
        <f t="shared" si="37"/>
        <v>56.7</v>
      </c>
      <c r="CA12" s="65" t="s">
        <v>519</v>
      </c>
      <c r="CB12" s="66" t="s">
        <v>519</v>
      </c>
      <c r="CC12" s="209">
        <v>0</v>
      </c>
      <c r="CD12" s="124">
        <f t="shared" si="38"/>
        <v>0</v>
      </c>
      <c r="CE12" s="210"/>
      <c r="CF12" s="124">
        <f t="shared" si="39"/>
        <v>0</v>
      </c>
      <c r="CI12" s="67" t="s">
        <v>237</v>
      </c>
      <c r="CJ12" s="118">
        <f t="shared" si="40"/>
        <v>0</v>
      </c>
      <c r="CK12" s="76" t="e">
        <f t="shared" si="41"/>
        <v>#NAME?</v>
      </c>
      <c r="CL12" s="68" t="e">
        <f t="shared" si="42"/>
        <v>#NAME?</v>
      </c>
      <c r="CM12" s="69" t="e">
        <f t="shared" si="43"/>
        <v>#NAME?</v>
      </c>
      <c r="CN12" s="77">
        <v>0.4916666666666667</v>
      </c>
      <c r="CO12" s="74"/>
      <c r="CP12" s="68" t="e">
        <f t="shared" si="44"/>
        <v>#NAME?</v>
      </c>
      <c r="CQ12" s="118" t="e">
        <f t="shared" si="45"/>
        <v>#NAME?</v>
      </c>
    </row>
    <row r="13" spans="1:95" x14ac:dyDescent="0.25">
      <c r="A13" s="259"/>
      <c r="B13" s="373">
        <v>12</v>
      </c>
      <c r="C13" s="311"/>
      <c r="D13" s="211" t="s">
        <v>456</v>
      </c>
      <c r="E13" s="212" t="s">
        <v>457</v>
      </c>
      <c r="F13" s="212" t="s">
        <v>458</v>
      </c>
      <c r="G13" s="212" t="s">
        <v>459</v>
      </c>
      <c r="H13" s="213" t="s">
        <v>28</v>
      </c>
      <c r="I13" s="213"/>
      <c r="J13" s="177">
        <f t="shared" si="0"/>
        <v>1654.1</v>
      </c>
      <c r="K13" s="123"/>
      <c r="L13" s="78"/>
      <c r="M13" s="67">
        <v>0.5083333333333333</v>
      </c>
      <c r="N13" s="118">
        <f t="shared" si="1"/>
        <v>0</v>
      </c>
      <c r="O13" s="76">
        <f t="shared" si="2"/>
        <v>60</v>
      </c>
      <c r="P13" s="122">
        <f t="shared" si="3"/>
        <v>0</v>
      </c>
      <c r="Q13" s="117">
        <f t="shared" si="4"/>
        <v>0.54999999999999993</v>
      </c>
      <c r="R13" s="176">
        <v>0.5493055555555556</v>
      </c>
      <c r="S13" s="68">
        <f t="shared" si="5"/>
        <v>-1</v>
      </c>
      <c r="T13" s="118">
        <f t="shared" si="6"/>
        <v>0</v>
      </c>
      <c r="U13" s="76">
        <f t="shared" si="7"/>
        <v>25</v>
      </c>
      <c r="V13" s="122">
        <v>0</v>
      </c>
      <c r="W13" s="117">
        <f t="shared" si="8"/>
        <v>0.56805555555555565</v>
      </c>
      <c r="X13" s="176">
        <v>0.56736111111111109</v>
      </c>
      <c r="Y13" s="68">
        <f t="shared" si="9"/>
        <v>-1</v>
      </c>
      <c r="Z13" s="118">
        <f t="shared" si="10"/>
        <v>0</v>
      </c>
      <c r="AA13" s="76">
        <f t="shared" si="11"/>
        <v>7</v>
      </c>
      <c r="AB13" s="122">
        <v>0</v>
      </c>
      <c r="AC13" s="117">
        <f t="shared" si="12"/>
        <v>0.57222222222222219</v>
      </c>
      <c r="AD13" s="176">
        <v>0.57916666666666672</v>
      </c>
      <c r="AE13" s="68">
        <f t="shared" si="13"/>
        <v>10</v>
      </c>
      <c r="AF13" s="118">
        <f t="shared" si="14"/>
        <v>600</v>
      </c>
      <c r="AG13" s="76">
        <f t="shared" si="15"/>
        <v>70</v>
      </c>
      <c r="AH13" s="122">
        <v>0</v>
      </c>
      <c r="AI13" s="117">
        <f t="shared" si="16"/>
        <v>0.62847222222222221</v>
      </c>
      <c r="AJ13" s="68">
        <f t="shared" si="17"/>
        <v>7</v>
      </c>
      <c r="AK13" s="176">
        <v>0.62916666666666665</v>
      </c>
      <c r="AL13" s="68">
        <f t="shared" si="18"/>
        <v>1</v>
      </c>
      <c r="AM13" s="118">
        <f t="shared" si="19"/>
        <v>60</v>
      </c>
      <c r="AN13" s="121"/>
      <c r="AO13" s="75">
        <v>0.52719907407407407</v>
      </c>
      <c r="AP13" s="72">
        <f t="shared" si="20"/>
        <v>0</v>
      </c>
      <c r="AQ13" s="68">
        <f t="shared" si="21"/>
        <v>443</v>
      </c>
      <c r="AR13" s="59">
        <f t="shared" si="22"/>
        <v>0.53232638888888884</v>
      </c>
      <c r="AS13" s="75">
        <v>0.5323148148148148</v>
      </c>
      <c r="AT13" s="73">
        <f t="shared" si="23"/>
        <v>-1</v>
      </c>
      <c r="AU13" s="74"/>
      <c r="AV13" s="119">
        <f t="shared" si="24"/>
        <v>1</v>
      </c>
      <c r="AW13" s="121"/>
      <c r="AX13" s="70">
        <v>0.55069444444444449</v>
      </c>
      <c r="AY13" s="72">
        <f t="shared" si="25"/>
        <v>0</v>
      </c>
      <c r="AZ13" s="68">
        <f t="shared" si="26"/>
        <v>478</v>
      </c>
      <c r="BA13" s="71">
        <v>950</v>
      </c>
      <c r="BB13" s="59">
        <f t="shared" si="27"/>
        <v>0.56168981481481484</v>
      </c>
      <c r="BC13" s="75">
        <v>0.56145833333333328</v>
      </c>
      <c r="BD13" s="73">
        <f t="shared" si="28"/>
        <v>-20</v>
      </c>
      <c r="BE13" s="74"/>
      <c r="BF13" s="119">
        <f t="shared" si="29"/>
        <v>0</v>
      </c>
      <c r="BG13" s="121"/>
      <c r="BH13" s="70">
        <v>0.57986111111111105</v>
      </c>
      <c r="BI13" s="72">
        <f t="shared" si="30"/>
        <v>0</v>
      </c>
      <c r="BJ13" s="68">
        <f t="shared" si="31"/>
        <v>1393</v>
      </c>
      <c r="BK13" s="59">
        <f t="shared" si="32"/>
        <v>0.59598379629629628</v>
      </c>
      <c r="BL13" s="75">
        <v>0.60532407407407407</v>
      </c>
      <c r="BM13" s="73">
        <f t="shared" si="33"/>
        <v>807</v>
      </c>
      <c r="BN13" s="74"/>
      <c r="BO13" s="119">
        <f t="shared" si="34"/>
        <v>807</v>
      </c>
      <c r="BP13" s="121"/>
      <c r="BQ13" s="271">
        <v>0</v>
      </c>
      <c r="BR13" s="303">
        <f t="shared" si="35"/>
        <v>0</v>
      </c>
      <c r="BS13" s="304">
        <v>0</v>
      </c>
      <c r="BT13" s="175">
        <v>66.06</v>
      </c>
      <c r="BU13" s="305">
        <f t="shared" si="36"/>
        <v>66.099999999999994</v>
      </c>
      <c r="BV13" s="74"/>
      <c r="BW13" s="74"/>
      <c r="BX13" s="74"/>
      <c r="BY13" s="74"/>
      <c r="BZ13" s="119">
        <f t="shared" si="37"/>
        <v>66.099999999999994</v>
      </c>
      <c r="CA13" s="65" t="s">
        <v>524</v>
      </c>
      <c r="CB13" s="66" t="s">
        <v>519</v>
      </c>
      <c r="CC13" s="209">
        <v>1</v>
      </c>
      <c r="CD13" s="124">
        <f t="shared" si="38"/>
        <v>120</v>
      </c>
      <c r="CE13" s="210"/>
      <c r="CF13" s="124">
        <f t="shared" si="39"/>
        <v>0</v>
      </c>
      <c r="CI13" s="67" t="s">
        <v>237</v>
      </c>
      <c r="CJ13" s="118">
        <f t="shared" si="40"/>
        <v>0</v>
      </c>
      <c r="CK13" s="76" t="e">
        <f t="shared" si="41"/>
        <v>#NAME?</v>
      </c>
      <c r="CL13" s="68" t="e">
        <f t="shared" si="42"/>
        <v>#NAME?</v>
      </c>
      <c r="CM13" s="69" t="e">
        <f t="shared" si="43"/>
        <v>#NAME?</v>
      </c>
      <c r="CN13" s="77">
        <v>0.4916666666666667</v>
      </c>
      <c r="CO13" s="74"/>
      <c r="CP13" s="68" t="e">
        <f t="shared" si="44"/>
        <v>#NAME?</v>
      </c>
      <c r="CQ13" s="118" t="e">
        <f t="shared" si="45"/>
        <v>#NAME?</v>
      </c>
    </row>
    <row r="14" spans="1:95" x14ac:dyDescent="0.25">
      <c r="A14" s="259"/>
      <c r="B14" s="373">
        <v>13</v>
      </c>
      <c r="C14" s="311"/>
      <c r="D14" s="211" t="s">
        <v>452</v>
      </c>
      <c r="E14" s="212" t="s">
        <v>453</v>
      </c>
      <c r="F14" s="212" t="s">
        <v>454</v>
      </c>
      <c r="G14" s="212" t="s">
        <v>455</v>
      </c>
      <c r="H14" s="213" t="s">
        <v>28</v>
      </c>
      <c r="I14" s="213"/>
      <c r="J14" s="177">
        <f t="shared" si="0"/>
        <v>1409.2</v>
      </c>
      <c r="K14" s="123"/>
      <c r="L14" s="78" t="s">
        <v>529</v>
      </c>
      <c r="M14" s="67">
        <v>0.50902777777777775</v>
      </c>
      <c r="N14" s="118">
        <f t="shared" si="1"/>
        <v>0</v>
      </c>
      <c r="O14" s="76">
        <f t="shared" si="2"/>
        <v>60</v>
      </c>
      <c r="P14" s="122">
        <f t="shared" si="3"/>
        <v>0</v>
      </c>
      <c r="Q14" s="117">
        <f t="shared" si="4"/>
        <v>0.55069444444444438</v>
      </c>
      <c r="R14" s="176">
        <v>0.55069444444444449</v>
      </c>
      <c r="S14" s="68">
        <f t="shared" si="5"/>
        <v>0</v>
      </c>
      <c r="T14" s="118">
        <f t="shared" si="6"/>
        <v>0</v>
      </c>
      <c r="U14" s="76">
        <f t="shared" si="7"/>
        <v>25</v>
      </c>
      <c r="V14" s="122">
        <v>0</v>
      </c>
      <c r="W14" s="117">
        <f t="shared" si="8"/>
        <v>0.56874999999999998</v>
      </c>
      <c r="X14" s="176">
        <v>0.56805555555555554</v>
      </c>
      <c r="Y14" s="68">
        <f t="shared" si="9"/>
        <v>-1</v>
      </c>
      <c r="Z14" s="118">
        <f t="shared" si="10"/>
        <v>0</v>
      </c>
      <c r="AA14" s="76">
        <f t="shared" si="11"/>
        <v>7</v>
      </c>
      <c r="AB14" s="122">
        <v>0</v>
      </c>
      <c r="AC14" s="117">
        <f t="shared" si="12"/>
        <v>0.57291666666666663</v>
      </c>
      <c r="AD14" s="176">
        <v>0.57430555555555551</v>
      </c>
      <c r="AE14" s="68">
        <f t="shared" si="13"/>
        <v>2</v>
      </c>
      <c r="AF14" s="118">
        <f t="shared" si="14"/>
        <v>120</v>
      </c>
      <c r="AG14" s="76">
        <f t="shared" si="15"/>
        <v>70</v>
      </c>
      <c r="AH14" s="122">
        <v>0</v>
      </c>
      <c r="AI14" s="117">
        <f t="shared" si="16"/>
        <v>0.62500000000000011</v>
      </c>
      <c r="AJ14" s="68">
        <f t="shared" si="17"/>
        <v>7</v>
      </c>
      <c r="AK14" s="176">
        <v>0.625</v>
      </c>
      <c r="AL14" s="68">
        <f t="shared" si="18"/>
        <v>0</v>
      </c>
      <c r="AM14" s="118">
        <f t="shared" si="19"/>
        <v>0</v>
      </c>
      <c r="AN14" s="121"/>
      <c r="AO14" s="75">
        <v>0.52697916666666667</v>
      </c>
      <c r="AP14" s="72">
        <f t="shared" si="20"/>
        <v>0</v>
      </c>
      <c r="AQ14" s="68">
        <f t="shared" si="21"/>
        <v>443</v>
      </c>
      <c r="AR14" s="59">
        <f t="shared" si="22"/>
        <v>0.53210648148148143</v>
      </c>
      <c r="AS14" s="75">
        <v>0.53196759259259252</v>
      </c>
      <c r="AT14" s="73">
        <f t="shared" si="23"/>
        <v>-12</v>
      </c>
      <c r="AU14" s="74"/>
      <c r="AV14" s="119">
        <f t="shared" si="24"/>
        <v>12</v>
      </c>
      <c r="AW14" s="121"/>
      <c r="AX14" s="70">
        <v>0.55138888888888882</v>
      </c>
      <c r="AY14" s="72">
        <f t="shared" si="25"/>
        <v>0</v>
      </c>
      <c r="AZ14" s="68">
        <f t="shared" si="26"/>
        <v>478</v>
      </c>
      <c r="BA14" s="71">
        <v>950</v>
      </c>
      <c r="BB14" s="59">
        <f t="shared" si="27"/>
        <v>0.56238425925925917</v>
      </c>
      <c r="BC14" s="75">
        <v>0.56262731481481476</v>
      </c>
      <c r="BD14" s="73">
        <f t="shared" si="28"/>
        <v>21</v>
      </c>
      <c r="BE14" s="74"/>
      <c r="BF14" s="119">
        <f t="shared" si="29"/>
        <v>21</v>
      </c>
      <c r="BG14" s="121"/>
      <c r="BH14" s="70">
        <v>0.57638888888888895</v>
      </c>
      <c r="BI14" s="72">
        <f t="shared" si="30"/>
        <v>0</v>
      </c>
      <c r="BJ14" s="68">
        <f t="shared" si="31"/>
        <v>1393</v>
      </c>
      <c r="BK14" s="59">
        <f t="shared" si="32"/>
        <v>0.59251157407407418</v>
      </c>
      <c r="BL14" s="75">
        <v>0.60545138888888894</v>
      </c>
      <c r="BM14" s="73">
        <f t="shared" si="33"/>
        <v>1118</v>
      </c>
      <c r="BN14" s="74"/>
      <c r="BO14" s="379">
        <f>(IF(NOT(OR(ISBLANK(BH14),ISBLANK(BL14))),ABS(BM14)*ШтрафОпережениеОтставаниеНаРД+IF(ISBLANK(BN14),0,ШтрафФальстартНаДС),ШтрафПропускДС))-300</f>
        <v>818</v>
      </c>
      <c r="BP14" s="121"/>
      <c r="BQ14" s="271">
        <v>0</v>
      </c>
      <c r="BR14" s="303">
        <f t="shared" si="35"/>
        <v>0</v>
      </c>
      <c r="BS14" s="304">
        <v>0</v>
      </c>
      <c r="BT14" s="175">
        <v>68.180000000000007</v>
      </c>
      <c r="BU14" s="305">
        <f t="shared" si="36"/>
        <v>68.2</v>
      </c>
      <c r="BV14" s="74"/>
      <c r="BW14" s="74">
        <v>1</v>
      </c>
      <c r="BX14" s="74"/>
      <c r="BY14" s="74"/>
      <c r="BZ14" s="119">
        <f t="shared" si="37"/>
        <v>78.2</v>
      </c>
      <c r="CA14" s="65" t="s">
        <v>525</v>
      </c>
      <c r="CB14" s="66" t="s">
        <v>519</v>
      </c>
      <c r="CC14" s="209">
        <v>3</v>
      </c>
      <c r="CD14" s="124">
        <f t="shared" si="38"/>
        <v>360</v>
      </c>
      <c r="CE14" s="210"/>
      <c r="CF14" s="124">
        <f t="shared" si="39"/>
        <v>0</v>
      </c>
      <c r="CI14" s="67" t="s">
        <v>237</v>
      </c>
      <c r="CJ14" s="118">
        <f t="shared" si="40"/>
        <v>0</v>
      </c>
      <c r="CK14" s="76" t="e">
        <f t="shared" si="41"/>
        <v>#NAME?</v>
      </c>
      <c r="CL14" s="68" t="e">
        <f t="shared" si="42"/>
        <v>#NAME?</v>
      </c>
      <c r="CM14" s="69" t="e">
        <f t="shared" si="43"/>
        <v>#NAME?</v>
      </c>
      <c r="CN14" s="77">
        <v>0.4916666666666667</v>
      </c>
      <c r="CO14" s="74"/>
      <c r="CP14" s="68" t="e">
        <f t="shared" si="44"/>
        <v>#NAME?</v>
      </c>
      <c r="CQ14" s="118" t="e">
        <f t="shared" si="45"/>
        <v>#NAME?</v>
      </c>
    </row>
    <row r="15" spans="1:95" x14ac:dyDescent="0.25">
      <c r="A15" s="259"/>
      <c r="B15" s="373">
        <v>14</v>
      </c>
      <c r="C15" s="311"/>
      <c r="D15" s="211" t="s">
        <v>250</v>
      </c>
      <c r="E15" s="212" t="s">
        <v>460</v>
      </c>
      <c r="F15" s="212" t="s">
        <v>121</v>
      </c>
      <c r="G15" s="212" t="s">
        <v>122</v>
      </c>
      <c r="H15" s="213" t="s">
        <v>28</v>
      </c>
      <c r="I15" s="213"/>
      <c r="J15" s="177">
        <f t="shared" si="0"/>
        <v>588.4</v>
      </c>
      <c r="K15" s="123"/>
      <c r="L15" s="78"/>
      <c r="M15" s="67">
        <v>0.50972222222222219</v>
      </c>
      <c r="N15" s="118">
        <f t="shared" si="1"/>
        <v>0</v>
      </c>
      <c r="O15" s="76">
        <f t="shared" si="2"/>
        <v>60</v>
      </c>
      <c r="P15" s="122">
        <f t="shared" si="3"/>
        <v>0</v>
      </c>
      <c r="Q15" s="117">
        <f t="shared" si="4"/>
        <v>0.55138888888888882</v>
      </c>
      <c r="R15" s="176">
        <v>0.55138888888888882</v>
      </c>
      <c r="S15" s="68">
        <f t="shared" si="5"/>
        <v>0</v>
      </c>
      <c r="T15" s="118">
        <f t="shared" si="6"/>
        <v>0</v>
      </c>
      <c r="U15" s="76">
        <f t="shared" si="7"/>
        <v>25</v>
      </c>
      <c r="V15" s="122">
        <v>0</v>
      </c>
      <c r="W15" s="117">
        <f t="shared" si="8"/>
        <v>0.56944444444444453</v>
      </c>
      <c r="X15" s="176">
        <v>0.56874999999999998</v>
      </c>
      <c r="Y15" s="68">
        <f t="shared" si="9"/>
        <v>-1</v>
      </c>
      <c r="Z15" s="118">
        <f t="shared" si="10"/>
        <v>0</v>
      </c>
      <c r="AA15" s="76">
        <f t="shared" si="11"/>
        <v>7</v>
      </c>
      <c r="AB15" s="122">
        <v>0</v>
      </c>
      <c r="AC15" s="117">
        <f t="shared" si="12"/>
        <v>0.57361111111111107</v>
      </c>
      <c r="AD15" s="176">
        <v>0.57361111111111118</v>
      </c>
      <c r="AE15" s="68">
        <f t="shared" si="13"/>
        <v>0</v>
      </c>
      <c r="AF15" s="118">
        <f t="shared" si="14"/>
        <v>0</v>
      </c>
      <c r="AG15" s="76">
        <f t="shared" si="15"/>
        <v>70</v>
      </c>
      <c r="AH15" s="122">
        <v>0</v>
      </c>
      <c r="AI15" s="117">
        <f t="shared" si="16"/>
        <v>0.62291666666666667</v>
      </c>
      <c r="AJ15" s="68">
        <f t="shared" si="17"/>
        <v>7</v>
      </c>
      <c r="AK15" s="176">
        <v>0.62291666666666667</v>
      </c>
      <c r="AL15" s="68">
        <f t="shared" si="18"/>
        <v>0</v>
      </c>
      <c r="AM15" s="118">
        <f t="shared" si="19"/>
        <v>0</v>
      </c>
      <c r="AN15" s="121"/>
      <c r="AO15" s="75">
        <v>0.52938657407407408</v>
      </c>
      <c r="AP15" s="72">
        <f t="shared" si="20"/>
        <v>0</v>
      </c>
      <c r="AQ15" s="68">
        <f t="shared" si="21"/>
        <v>443</v>
      </c>
      <c r="AR15" s="59">
        <f t="shared" si="22"/>
        <v>0.53451388888888884</v>
      </c>
      <c r="AS15" s="75">
        <v>0.53490740740740739</v>
      </c>
      <c r="AT15" s="73">
        <f t="shared" si="23"/>
        <v>34</v>
      </c>
      <c r="AU15" s="74"/>
      <c r="AV15" s="119">
        <f t="shared" si="24"/>
        <v>34</v>
      </c>
      <c r="AW15" s="121"/>
      <c r="AX15" s="70">
        <v>0.55208333333333337</v>
      </c>
      <c r="AY15" s="72">
        <f t="shared" si="25"/>
        <v>0</v>
      </c>
      <c r="AZ15" s="68">
        <f t="shared" si="26"/>
        <v>478</v>
      </c>
      <c r="BA15" s="71">
        <v>950</v>
      </c>
      <c r="BB15" s="59">
        <f t="shared" si="27"/>
        <v>0.56307870370370372</v>
      </c>
      <c r="BC15" s="75">
        <v>0.56284722222222217</v>
      </c>
      <c r="BD15" s="73">
        <f t="shared" si="28"/>
        <v>-20</v>
      </c>
      <c r="BE15" s="74"/>
      <c r="BF15" s="119">
        <f t="shared" si="29"/>
        <v>0</v>
      </c>
      <c r="BG15" s="121"/>
      <c r="BH15" s="70">
        <v>0.57430555555555551</v>
      </c>
      <c r="BI15" s="72">
        <f t="shared" si="30"/>
        <v>0</v>
      </c>
      <c r="BJ15" s="68">
        <f t="shared" si="31"/>
        <v>1393</v>
      </c>
      <c r="BK15" s="59">
        <f t="shared" si="32"/>
        <v>0.59042824074074074</v>
      </c>
      <c r="BL15" s="75">
        <v>0.5917824074074074</v>
      </c>
      <c r="BM15" s="73">
        <f t="shared" si="33"/>
        <v>117</v>
      </c>
      <c r="BN15" s="74"/>
      <c r="BO15" s="119">
        <f t="shared" ref="BO15:BO25" si="46">IF(NOT(OR(ISBLANK(BH15),ISBLANK(BL15))),ABS(BM15)*ШтрафОпережениеОтставаниеНаРД+IF(ISBLANK(BN15),0,ШтрафФальстартНаДС),ШтрафПропускДС)</f>
        <v>117</v>
      </c>
      <c r="BP15" s="121"/>
      <c r="BQ15" s="271">
        <v>0</v>
      </c>
      <c r="BR15" s="303">
        <f t="shared" si="35"/>
        <v>0</v>
      </c>
      <c r="BS15" s="304">
        <v>0</v>
      </c>
      <c r="BT15" s="375">
        <v>67.42</v>
      </c>
      <c r="BU15" s="376">
        <f t="shared" si="36"/>
        <v>67.400000000000006</v>
      </c>
      <c r="BV15" s="377"/>
      <c r="BW15" s="377">
        <v>1</v>
      </c>
      <c r="BX15" s="74"/>
      <c r="BY15" s="74"/>
      <c r="BZ15" s="119">
        <f t="shared" si="37"/>
        <v>77.400000000000006</v>
      </c>
      <c r="CA15" s="65" t="s">
        <v>526</v>
      </c>
      <c r="CB15" s="66" t="s">
        <v>519</v>
      </c>
      <c r="CC15" s="209">
        <v>3</v>
      </c>
      <c r="CD15" s="124">
        <f t="shared" si="38"/>
        <v>360</v>
      </c>
      <c r="CE15" s="210"/>
      <c r="CF15" s="124">
        <f t="shared" si="39"/>
        <v>0</v>
      </c>
      <c r="CI15" s="67" t="s">
        <v>237</v>
      </c>
      <c r="CJ15" s="118">
        <f t="shared" si="40"/>
        <v>0</v>
      </c>
      <c r="CK15" s="76" t="e">
        <f t="shared" si="41"/>
        <v>#NAME?</v>
      </c>
      <c r="CL15" s="68" t="e">
        <f t="shared" si="42"/>
        <v>#NAME?</v>
      </c>
      <c r="CM15" s="69" t="e">
        <f t="shared" si="43"/>
        <v>#NAME?</v>
      </c>
      <c r="CN15" s="77">
        <v>0.4916666666666667</v>
      </c>
      <c r="CO15" s="74"/>
      <c r="CP15" s="68" t="e">
        <f t="shared" si="44"/>
        <v>#NAME?</v>
      </c>
      <c r="CQ15" s="118" t="e">
        <f t="shared" si="45"/>
        <v>#NAME?</v>
      </c>
    </row>
    <row r="16" spans="1:95" x14ac:dyDescent="0.25">
      <c r="A16" s="259"/>
      <c r="B16" s="373">
        <v>15</v>
      </c>
      <c r="C16" s="311"/>
      <c r="D16" s="211" t="s">
        <v>111</v>
      </c>
      <c r="E16" s="212" t="s">
        <v>440</v>
      </c>
      <c r="F16" s="212" t="s">
        <v>40</v>
      </c>
      <c r="G16" s="212" t="s">
        <v>112</v>
      </c>
      <c r="H16" s="213" t="s">
        <v>28</v>
      </c>
      <c r="I16" s="213"/>
      <c r="J16" s="177">
        <f t="shared" si="0"/>
        <v>707.3</v>
      </c>
      <c r="K16" s="123"/>
      <c r="L16" s="78"/>
      <c r="M16" s="67">
        <v>0.51041666666666663</v>
      </c>
      <c r="N16" s="118">
        <f t="shared" si="1"/>
        <v>0</v>
      </c>
      <c r="O16" s="76">
        <f t="shared" si="2"/>
        <v>60</v>
      </c>
      <c r="P16" s="122">
        <f t="shared" si="3"/>
        <v>0</v>
      </c>
      <c r="Q16" s="117">
        <f t="shared" si="4"/>
        <v>0.55208333333333326</v>
      </c>
      <c r="R16" s="176">
        <v>0.55208333333333337</v>
      </c>
      <c r="S16" s="68">
        <f t="shared" si="5"/>
        <v>0</v>
      </c>
      <c r="T16" s="118">
        <f t="shared" si="6"/>
        <v>0</v>
      </c>
      <c r="U16" s="76">
        <f t="shared" si="7"/>
        <v>25</v>
      </c>
      <c r="V16" s="122">
        <v>0</v>
      </c>
      <c r="W16" s="117">
        <f t="shared" si="8"/>
        <v>0.57013888888888897</v>
      </c>
      <c r="X16" s="176">
        <v>0.56944444444444442</v>
      </c>
      <c r="Y16" s="68">
        <f t="shared" si="9"/>
        <v>-1</v>
      </c>
      <c r="Z16" s="118">
        <f t="shared" si="10"/>
        <v>0</v>
      </c>
      <c r="AA16" s="76">
        <f t="shared" si="11"/>
        <v>7</v>
      </c>
      <c r="AB16" s="122">
        <v>0</v>
      </c>
      <c r="AC16" s="117">
        <f t="shared" si="12"/>
        <v>0.57430555555555551</v>
      </c>
      <c r="AD16" s="176">
        <v>0.57430555555555551</v>
      </c>
      <c r="AE16" s="68">
        <f t="shared" si="13"/>
        <v>0</v>
      </c>
      <c r="AF16" s="118">
        <f t="shared" si="14"/>
        <v>0</v>
      </c>
      <c r="AG16" s="76">
        <f t="shared" si="15"/>
        <v>70</v>
      </c>
      <c r="AH16" s="122">
        <v>0</v>
      </c>
      <c r="AI16" s="117">
        <f t="shared" si="16"/>
        <v>0.62569444444444444</v>
      </c>
      <c r="AJ16" s="68">
        <f t="shared" si="17"/>
        <v>7</v>
      </c>
      <c r="AK16" s="176">
        <v>0.62430555555555556</v>
      </c>
      <c r="AL16" s="68">
        <f t="shared" si="18"/>
        <v>-2</v>
      </c>
      <c r="AM16" s="118">
        <f t="shared" si="19"/>
        <v>0</v>
      </c>
      <c r="AN16" s="121"/>
      <c r="AO16" s="75">
        <v>0.52695601851851859</v>
      </c>
      <c r="AP16" s="72">
        <f t="shared" si="20"/>
        <v>0</v>
      </c>
      <c r="AQ16" s="68">
        <f t="shared" si="21"/>
        <v>443</v>
      </c>
      <c r="AR16" s="59">
        <f t="shared" si="22"/>
        <v>0.53208333333333335</v>
      </c>
      <c r="AS16" s="75">
        <v>0.53247685185185178</v>
      </c>
      <c r="AT16" s="73">
        <f t="shared" si="23"/>
        <v>34</v>
      </c>
      <c r="AU16" s="74"/>
      <c r="AV16" s="119">
        <f t="shared" si="24"/>
        <v>34</v>
      </c>
      <c r="AW16" s="121"/>
      <c r="AX16" s="70">
        <v>0.55277777777777781</v>
      </c>
      <c r="AY16" s="72">
        <f t="shared" si="25"/>
        <v>0</v>
      </c>
      <c r="AZ16" s="68">
        <f t="shared" si="26"/>
        <v>478</v>
      </c>
      <c r="BA16" s="71">
        <v>950</v>
      </c>
      <c r="BB16" s="59">
        <f t="shared" si="27"/>
        <v>0.56377314814814816</v>
      </c>
      <c r="BC16" s="75">
        <v>0.56374999999999997</v>
      </c>
      <c r="BD16" s="73">
        <f t="shared" si="28"/>
        <v>-2</v>
      </c>
      <c r="BE16" s="74"/>
      <c r="BF16" s="119">
        <f t="shared" si="29"/>
        <v>0</v>
      </c>
      <c r="BG16" s="121"/>
      <c r="BH16" s="70">
        <v>0.57708333333333328</v>
      </c>
      <c r="BI16" s="72">
        <f t="shared" si="30"/>
        <v>0</v>
      </c>
      <c r="BJ16" s="68">
        <f t="shared" si="31"/>
        <v>1393</v>
      </c>
      <c r="BK16" s="59">
        <f t="shared" si="32"/>
        <v>0.59320601851851851</v>
      </c>
      <c r="BL16" s="75">
        <v>0.60003472222222221</v>
      </c>
      <c r="BM16" s="73">
        <f t="shared" si="33"/>
        <v>590</v>
      </c>
      <c r="BN16" s="74"/>
      <c r="BO16" s="119">
        <f t="shared" si="46"/>
        <v>590</v>
      </c>
      <c r="BP16" s="121"/>
      <c r="BQ16" s="271">
        <v>0</v>
      </c>
      <c r="BR16" s="303">
        <f t="shared" si="35"/>
        <v>0</v>
      </c>
      <c r="BS16" s="304">
        <v>0</v>
      </c>
      <c r="BT16" s="375">
        <v>83.3</v>
      </c>
      <c r="BU16" s="376">
        <f t="shared" si="36"/>
        <v>83.3</v>
      </c>
      <c r="BV16" s="377"/>
      <c r="BW16" s="377"/>
      <c r="BX16" s="74"/>
      <c r="BY16" s="74"/>
      <c r="BZ16" s="119">
        <f t="shared" si="37"/>
        <v>83.3</v>
      </c>
      <c r="CA16" s="65" t="s">
        <v>519</v>
      </c>
      <c r="CB16" s="66" t="s">
        <v>519</v>
      </c>
      <c r="CC16" s="209">
        <v>0</v>
      </c>
      <c r="CD16" s="124">
        <f t="shared" si="38"/>
        <v>0</v>
      </c>
      <c r="CE16" s="210"/>
      <c r="CF16" s="124">
        <f t="shared" si="39"/>
        <v>0</v>
      </c>
      <c r="CI16" s="67" t="s">
        <v>237</v>
      </c>
      <c r="CJ16" s="118">
        <f t="shared" si="40"/>
        <v>0</v>
      </c>
      <c r="CK16" s="76" t="e">
        <f t="shared" si="41"/>
        <v>#NAME?</v>
      </c>
      <c r="CL16" s="68" t="e">
        <f t="shared" si="42"/>
        <v>#NAME?</v>
      </c>
      <c r="CM16" s="69" t="e">
        <f t="shared" si="43"/>
        <v>#NAME?</v>
      </c>
      <c r="CN16" s="77">
        <v>0.4916666666666667</v>
      </c>
      <c r="CO16" s="74"/>
      <c r="CP16" s="68" t="e">
        <f t="shared" si="44"/>
        <v>#NAME?</v>
      </c>
      <c r="CQ16" s="118" t="e">
        <f t="shared" si="45"/>
        <v>#NAME?</v>
      </c>
    </row>
    <row r="17" spans="1:95" x14ac:dyDescent="0.25">
      <c r="A17" s="259"/>
      <c r="B17" s="373">
        <v>16</v>
      </c>
      <c r="C17" s="311"/>
      <c r="D17" s="211" t="s">
        <v>252</v>
      </c>
      <c r="E17" s="212" t="s">
        <v>489</v>
      </c>
      <c r="F17" s="212" t="s">
        <v>491</v>
      </c>
      <c r="G17" s="212" t="s">
        <v>492</v>
      </c>
      <c r="H17" s="213" t="s">
        <v>28</v>
      </c>
      <c r="I17" s="213"/>
      <c r="J17" s="177">
        <f t="shared" si="0"/>
        <v>1422.1</v>
      </c>
      <c r="K17" s="123"/>
      <c r="L17" s="78"/>
      <c r="M17" s="67">
        <v>0.51111111111111118</v>
      </c>
      <c r="N17" s="118">
        <f t="shared" si="1"/>
        <v>0</v>
      </c>
      <c r="O17" s="76">
        <f t="shared" si="2"/>
        <v>60</v>
      </c>
      <c r="P17" s="122">
        <f t="shared" si="3"/>
        <v>0</v>
      </c>
      <c r="Q17" s="117">
        <f t="shared" si="4"/>
        <v>0.55277777777777781</v>
      </c>
      <c r="R17" s="176">
        <v>0.55208333333333337</v>
      </c>
      <c r="S17" s="68">
        <f t="shared" si="5"/>
        <v>-1</v>
      </c>
      <c r="T17" s="118">
        <f t="shared" si="6"/>
        <v>0</v>
      </c>
      <c r="U17" s="76">
        <f t="shared" si="7"/>
        <v>25</v>
      </c>
      <c r="V17" s="122">
        <v>0</v>
      </c>
      <c r="W17" s="117">
        <f t="shared" si="8"/>
        <v>0.57083333333333341</v>
      </c>
      <c r="X17" s="176">
        <v>0.57013888888888886</v>
      </c>
      <c r="Y17" s="68">
        <f t="shared" si="9"/>
        <v>-1</v>
      </c>
      <c r="Z17" s="118">
        <f t="shared" si="10"/>
        <v>0</v>
      </c>
      <c r="AA17" s="76">
        <f t="shared" si="11"/>
        <v>7</v>
      </c>
      <c r="AB17" s="122">
        <v>0</v>
      </c>
      <c r="AC17" s="117">
        <f t="shared" si="12"/>
        <v>0.57499999999999996</v>
      </c>
      <c r="AD17" s="176">
        <v>0.5756944444444444</v>
      </c>
      <c r="AE17" s="68">
        <f t="shared" si="13"/>
        <v>1</v>
      </c>
      <c r="AF17" s="118">
        <f t="shared" si="14"/>
        <v>60</v>
      </c>
      <c r="AG17" s="76">
        <f t="shared" si="15"/>
        <v>70</v>
      </c>
      <c r="AH17" s="122">
        <v>0</v>
      </c>
      <c r="AI17" s="117">
        <f t="shared" si="16"/>
        <v>0.62638888888888899</v>
      </c>
      <c r="AJ17" s="68">
        <f t="shared" si="17"/>
        <v>7</v>
      </c>
      <c r="AK17" s="176">
        <v>0.62847222222222221</v>
      </c>
      <c r="AL17" s="68">
        <f t="shared" si="18"/>
        <v>3</v>
      </c>
      <c r="AM17" s="118">
        <f t="shared" si="19"/>
        <v>180</v>
      </c>
      <c r="AN17" s="121"/>
      <c r="AO17" s="75">
        <v>0.53038194444444442</v>
      </c>
      <c r="AP17" s="72">
        <f t="shared" si="20"/>
        <v>0</v>
      </c>
      <c r="AQ17" s="68">
        <f t="shared" si="21"/>
        <v>443</v>
      </c>
      <c r="AR17" s="59">
        <f t="shared" si="22"/>
        <v>0.53550925925925918</v>
      </c>
      <c r="AS17" s="75">
        <v>0.53576388888888882</v>
      </c>
      <c r="AT17" s="73">
        <f t="shared" si="23"/>
        <v>22</v>
      </c>
      <c r="AU17" s="74"/>
      <c r="AV17" s="119">
        <f t="shared" si="24"/>
        <v>22</v>
      </c>
      <c r="AW17" s="121"/>
      <c r="AX17" s="70">
        <v>0.55347222222222225</v>
      </c>
      <c r="AY17" s="72">
        <f t="shared" si="25"/>
        <v>0</v>
      </c>
      <c r="AZ17" s="68">
        <f t="shared" si="26"/>
        <v>478</v>
      </c>
      <c r="BA17" s="71">
        <v>950</v>
      </c>
      <c r="BB17" s="59">
        <f t="shared" si="27"/>
        <v>0.5644675925925926</v>
      </c>
      <c r="BC17" s="75">
        <v>0.56481481481481477</v>
      </c>
      <c r="BD17" s="73">
        <f t="shared" si="28"/>
        <v>30</v>
      </c>
      <c r="BE17" s="74"/>
      <c r="BF17" s="119">
        <f t="shared" si="29"/>
        <v>30</v>
      </c>
      <c r="BG17" s="121"/>
      <c r="BH17" s="70">
        <v>0.57777777777777783</v>
      </c>
      <c r="BI17" s="72">
        <f t="shared" si="30"/>
        <v>0</v>
      </c>
      <c r="BJ17" s="68">
        <f t="shared" si="31"/>
        <v>1393</v>
      </c>
      <c r="BK17" s="59">
        <f t="shared" si="32"/>
        <v>0.59390046296296306</v>
      </c>
      <c r="BL17" s="75">
        <v>0.60046296296296298</v>
      </c>
      <c r="BM17" s="73">
        <f t="shared" si="33"/>
        <v>567</v>
      </c>
      <c r="BN17" s="75"/>
      <c r="BO17" s="119">
        <f t="shared" si="46"/>
        <v>567</v>
      </c>
      <c r="BP17" s="121"/>
      <c r="BQ17" s="271">
        <v>0</v>
      </c>
      <c r="BR17" s="303">
        <f t="shared" si="35"/>
        <v>0</v>
      </c>
      <c r="BS17" s="304">
        <v>0</v>
      </c>
      <c r="BT17" s="375">
        <v>63.05</v>
      </c>
      <c r="BU17" s="376">
        <f t="shared" si="36"/>
        <v>63.1</v>
      </c>
      <c r="BV17" s="377"/>
      <c r="BW17" s="377">
        <v>2</v>
      </c>
      <c r="BX17" s="74"/>
      <c r="BY17" s="74"/>
      <c r="BZ17" s="119">
        <f t="shared" si="37"/>
        <v>83.1</v>
      </c>
      <c r="CA17" s="65" t="s">
        <v>518</v>
      </c>
      <c r="CB17" s="66" t="s">
        <v>519</v>
      </c>
      <c r="CC17" s="209">
        <v>4</v>
      </c>
      <c r="CD17" s="124">
        <f t="shared" si="38"/>
        <v>480</v>
      </c>
      <c r="CE17" s="210"/>
      <c r="CF17" s="124">
        <f t="shared" si="39"/>
        <v>0</v>
      </c>
      <c r="CI17" s="67" t="s">
        <v>237</v>
      </c>
      <c r="CJ17" s="118">
        <f t="shared" si="40"/>
        <v>0</v>
      </c>
      <c r="CK17" s="76" t="e">
        <f t="shared" si="41"/>
        <v>#NAME?</v>
      </c>
      <c r="CL17" s="68" t="e">
        <f t="shared" si="42"/>
        <v>#NAME?</v>
      </c>
      <c r="CM17" s="69" t="e">
        <f t="shared" si="43"/>
        <v>#NAME?</v>
      </c>
      <c r="CN17" s="77">
        <v>0.4916666666666667</v>
      </c>
      <c r="CO17" s="74"/>
      <c r="CP17" s="68" t="e">
        <f t="shared" si="44"/>
        <v>#NAME?</v>
      </c>
      <c r="CQ17" s="118" t="e">
        <f t="shared" si="45"/>
        <v>#NAME?</v>
      </c>
    </row>
    <row r="18" spans="1:95" x14ac:dyDescent="0.25">
      <c r="A18" s="259"/>
      <c r="B18" s="373">
        <v>17</v>
      </c>
      <c r="C18" s="311"/>
      <c r="D18" s="211" t="s">
        <v>42</v>
      </c>
      <c r="E18" s="212" t="s">
        <v>443</v>
      </c>
      <c r="F18" s="212" t="s">
        <v>43</v>
      </c>
      <c r="G18" s="212" t="s">
        <v>113</v>
      </c>
      <c r="H18" s="213" t="s">
        <v>28</v>
      </c>
      <c r="I18" s="213"/>
      <c r="J18" s="177">
        <f t="shared" si="0"/>
        <v>1370.7</v>
      </c>
      <c r="K18" s="123"/>
      <c r="L18" s="78"/>
      <c r="M18" s="67">
        <v>0.51180555555555551</v>
      </c>
      <c r="N18" s="118">
        <f t="shared" si="1"/>
        <v>0</v>
      </c>
      <c r="O18" s="76">
        <f t="shared" si="2"/>
        <v>60</v>
      </c>
      <c r="P18" s="122">
        <f t="shared" si="3"/>
        <v>0</v>
      </c>
      <c r="Q18" s="117">
        <f t="shared" si="4"/>
        <v>0.55347222222222214</v>
      </c>
      <c r="R18" s="176">
        <v>0.55347222222222225</v>
      </c>
      <c r="S18" s="68">
        <f t="shared" si="5"/>
        <v>0</v>
      </c>
      <c r="T18" s="118">
        <f t="shared" si="6"/>
        <v>0</v>
      </c>
      <c r="U18" s="76">
        <f t="shared" si="7"/>
        <v>25</v>
      </c>
      <c r="V18" s="122">
        <v>0</v>
      </c>
      <c r="W18" s="117">
        <f t="shared" si="8"/>
        <v>0.5722222222222223</v>
      </c>
      <c r="X18" s="176">
        <v>0.57222222222222219</v>
      </c>
      <c r="Y18" s="68">
        <f t="shared" si="9"/>
        <v>0</v>
      </c>
      <c r="Z18" s="118">
        <f t="shared" si="10"/>
        <v>0</v>
      </c>
      <c r="AA18" s="76">
        <f t="shared" si="11"/>
        <v>7</v>
      </c>
      <c r="AB18" s="122">
        <v>0</v>
      </c>
      <c r="AC18" s="117">
        <f t="shared" si="12"/>
        <v>0.57708333333333328</v>
      </c>
      <c r="AD18" s="176">
        <v>0.57708333333333328</v>
      </c>
      <c r="AE18" s="68">
        <f t="shared" si="13"/>
        <v>0</v>
      </c>
      <c r="AF18" s="118">
        <f t="shared" si="14"/>
        <v>0</v>
      </c>
      <c r="AG18" s="76">
        <f t="shared" si="15"/>
        <v>70</v>
      </c>
      <c r="AH18" s="122">
        <v>0</v>
      </c>
      <c r="AI18" s="117">
        <f t="shared" si="16"/>
        <v>0.62708333333333333</v>
      </c>
      <c r="AJ18" s="68">
        <f t="shared" si="17"/>
        <v>7</v>
      </c>
      <c r="AK18" s="176">
        <v>0.62916666666666665</v>
      </c>
      <c r="AL18" s="68">
        <f t="shared" si="18"/>
        <v>3</v>
      </c>
      <c r="AM18" s="118">
        <f t="shared" si="19"/>
        <v>180</v>
      </c>
      <c r="AN18" s="121"/>
      <c r="AO18" s="75">
        <v>0.52972222222222221</v>
      </c>
      <c r="AP18" s="72">
        <f t="shared" si="20"/>
        <v>0</v>
      </c>
      <c r="AQ18" s="68">
        <f t="shared" si="21"/>
        <v>443</v>
      </c>
      <c r="AR18" s="59">
        <f t="shared" si="22"/>
        <v>0.53484953703703697</v>
      </c>
      <c r="AS18" s="75">
        <v>0.53469907407407413</v>
      </c>
      <c r="AT18" s="73">
        <f t="shared" si="23"/>
        <v>-13</v>
      </c>
      <c r="AU18" s="74"/>
      <c r="AV18" s="119">
        <f t="shared" si="24"/>
        <v>13</v>
      </c>
      <c r="AW18" s="121"/>
      <c r="AX18" s="70">
        <v>0.55486111111111114</v>
      </c>
      <c r="AY18" s="72">
        <f t="shared" si="25"/>
        <v>0</v>
      </c>
      <c r="AZ18" s="68">
        <f t="shared" si="26"/>
        <v>478</v>
      </c>
      <c r="BA18" s="71">
        <v>950</v>
      </c>
      <c r="BB18" s="59">
        <f t="shared" si="27"/>
        <v>0.56585648148148149</v>
      </c>
      <c r="BC18" s="75">
        <v>0.56603009259259263</v>
      </c>
      <c r="BD18" s="73">
        <f t="shared" si="28"/>
        <v>15</v>
      </c>
      <c r="BE18" s="74"/>
      <c r="BF18" s="119">
        <f t="shared" si="29"/>
        <v>15</v>
      </c>
      <c r="BG18" s="121"/>
      <c r="BH18" s="70">
        <v>0.57847222222222217</v>
      </c>
      <c r="BI18" s="72">
        <f t="shared" si="30"/>
        <v>0</v>
      </c>
      <c r="BJ18" s="68">
        <f t="shared" si="31"/>
        <v>1393</v>
      </c>
      <c r="BK18" s="59">
        <f t="shared" si="32"/>
        <v>0.59459490740740739</v>
      </c>
      <c r="BL18" s="75">
        <v>0.60709490740740735</v>
      </c>
      <c r="BM18" s="73">
        <f t="shared" si="33"/>
        <v>1080</v>
      </c>
      <c r="BN18" s="74"/>
      <c r="BO18" s="119">
        <f t="shared" si="46"/>
        <v>1080</v>
      </c>
      <c r="BP18" s="121"/>
      <c r="BQ18" s="271">
        <v>0</v>
      </c>
      <c r="BR18" s="303">
        <f t="shared" si="35"/>
        <v>0</v>
      </c>
      <c r="BS18" s="304">
        <v>0</v>
      </c>
      <c r="BT18" s="175">
        <v>72.650000000000006</v>
      </c>
      <c r="BU18" s="305">
        <f t="shared" si="36"/>
        <v>72.7</v>
      </c>
      <c r="BV18" s="74"/>
      <c r="BW18" s="74">
        <v>1</v>
      </c>
      <c r="BX18" s="74"/>
      <c r="BY18" s="74"/>
      <c r="BZ18" s="119">
        <f t="shared" si="37"/>
        <v>82.7</v>
      </c>
      <c r="CA18" s="65" t="s">
        <v>519</v>
      </c>
      <c r="CB18" s="66" t="s">
        <v>519</v>
      </c>
      <c r="CC18" s="209">
        <v>0</v>
      </c>
      <c r="CD18" s="124">
        <f t="shared" si="38"/>
        <v>0</v>
      </c>
      <c r="CE18" s="210"/>
      <c r="CF18" s="124">
        <f t="shared" si="39"/>
        <v>0</v>
      </c>
      <c r="CI18" s="67" t="s">
        <v>237</v>
      </c>
      <c r="CJ18" s="118">
        <f t="shared" si="40"/>
        <v>0</v>
      </c>
      <c r="CK18" s="76" t="e">
        <f t="shared" si="41"/>
        <v>#NAME?</v>
      </c>
      <c r="CL18" s="68" t="e">
        <f t="shared" si="42"/>
        <v>#NAME?</v>
      </c>
      <c r="CM18" s="69" t="e">
        <f t="shared" si="43"/>
        <v>#NAME?</v>
      </c>
      <c r="CN18" s="77">
        <v>0.4916666666666667</v>
      </c>
      <c r="CO18" s="74"/>
      <c r="CP18" s="68" t="e">
        <f t="shared" si="44"/>
        <v>#NAME?</v>
      </c>
      <c r="CQ18" s="118" t="e">
        <f t="shared" si="45"/>
        <v>#NAME?</v>
      </c>
    </row>
    <row r="19" spans="1:95" x14ac:dyDescent="0.25">
      <c r="A19" s="259"/>
      <c r="B19" s="373">
        <v>18</v>
      </c>
      <c r="C19" s="311"/>
      <c r="D19" s="211" t="s">
        <v>104</v>
      </c>
      <c r="E19" s="212" t="s">
        <v>257</v>
      </c>
      <c r="F19" s="212" t="s">
        <v>465</v>
      </c>
      <c r="G19" s="212" t="s">
        <v>466</v>
      </c>
      <c r="H19" s="213" t="s">
        <v>27</v>
      </c>
      <c r="I19" s="213"/>
      <c r="J19" s="177">
        <f t="shared" si="0"/>
        <v>2333.8000000000002</v>
      </c>
      <c r="K19" s="123"/>
      <c r="L19" s="78"/>
      <c r="M19" s="67">
        <v>0.51250000000000007</v>
      </c>
      <c r="N19" s="118">
        <f t="shared" si="1"/>
        <v>0</v>
      </c>
      <c r="O19" s="76">
        <f t="shared" si="2"/>
        <v>60</v>
      </c>
      <c r="P19" s="122">
        <f t="shared" si="3"/>
        <v>0</v>
      </c>
      <c r="Q19" s="117">
        <f t="shared" si="4"/>
        <v>0.5541666666666667</v>
      </c>
      <c r="R19" s="176">
        <v>0.5541666666666667</v>
      </c>
      <c r="S19" s="68">
        <f t="shared" si="5"/>
        <v>0</v>
      </c>
      <c r="T19" s="118">
        <f t="shared" si="6"/>
        <v>0</v>
      </c>
      <c r="U19" s="76">
        <f t="shared" si="7"/>
        <v>25</v>
      </c>
      <c r="V19" s="122">
        <v>0</v>
      </c>
      <c r="W19" s="117">
        <f t="shared" si="8"/>
        <v>0.57291666666666674</v>
      </c>
      <c r="X19" s="176">
        <v>0.57222222222222219</v>
      </c>
      <c r="Y19" s="68">
        <f t="shared" si="9"/>
        <v>-1</v>
      </c>
      <c r="Z19" s="118">
        <f t="shared" si="10"/>
        <v>0</v>
      </c>
      <c r="AA19" s="76">
        <f t="shared" si="11"/>
        <v>7</v>
      </c>
      <c r="AB19" s="122">
        <v>0</v>
      </c>
      <c r="AC19" s="117">
        <f t="shared" si="12"/>
        <v>0.57708333333333328</v>
      </c>
      <c r="AD19" s="176">
        <v>0.58611111111111114</v>
      </c>
      <c r="AE19" s="68">
        <f t="shared" si="13"/>
        <v>13</v>
      </c>
      <c r="AF19" s="118">
        <f t="shared" si="14"/>
        <v>780</v>
      </c>
      <c r="AG19" s="76">
        <f t="shared" si="15"/>
        <v>70</v>
      </c>
      <c r="AH19" s="122">
        <v>0</v>
      </c>
      <c r="AI19" s="117">
        <f t="shared" si="16"/>
        <v>0.63611111111111118</v>
      </c>
      <c r="AJ19" s="68">
        <f t="shared" si="17"/>
        <v>7</v>
      </c>
      <c r="AK19" s="176">
        <v>0.63472222222222219</v>
      </c>
      <c r="AL19" s="68">
        <f t="shared" si="18"/>
        <v>-2</v>
      </c>
      <c r="AM19" s="118">
        <f t="shared" si="19"/>
        <v>0</v>
      </c>
      <c r="AN19" s="121"/>
      <c r="AO19" s="75">
        <v>0.53914351851851849</v>
      </c>
      <c r="AP19" s="72">
        <f t="shared" si="20"/>
        <v>0</v>
      </c>
      <c r="AQ19" s="68">
        <f t="shared" si="21"/>
        <v>443</v>
      </c>
      <c r="AR19" s="59">
        <f t="shared" si="22"/>
        <v>0.54427083333333326</v>
      </c>
      <c r="AS19" s="75">
        <v>0.54491898148148155</v>
      </c>
      <c r="AT19" s="73">
        <f t="shared" si="23"/>
        <v>56</v>
      </c>
      <c r="AU19" s="74"/>
      <c r="AV19" s="119">
        <f t="shared" si="24"/>
        <v>56</v>
      </c>
      <c r="AW19" s="121"/>
      <c r="AX19" s="70">
        <v>0.55555555555555558</v>
      </c>
      <c r="AY19" s="72">
        <f t="shared" si="25"/>
        <v>0</v>
      </c>
      <c r="AZ19" s="68">
        <f t="shared" si="26"/>
        <v>478</v>
      </c>
      <c r="BA19" s="356">
        <v>950</v>
      </c>
      <c r="BB19" s="59">
        <f t="shared" si="27"/>
        <v>0.56655092592592593</v>
      </c>
      <c r="BC19" s="75">
        <v>0.5665162037037037</v>
      </c>
      <c r="BD19" s="73">
        <f t="shared" si="28"/>
        <v>-3</v>
      </c>
      <c r="BE19" s="74"/>
      <c r="BF19" s="119">
        <f t="shared" si="29"/>
        <v>0</v>
      </c>
      <c r="BG19" s="121"/>
      <c r="BH19" s="70">
        <v>0.58750000000000002</v>
      </c>
      <c r="BI19" s="72">
        <f t="shared" si="30"/>
        <v>0</v>
      </c>
      <c r="BJ19" s="68">
        <f t="shared" si="31"/>
        <v>1393</v>
      </c>
      <c r="BK19" s="59">
        <f t="shared" si="32"/>
        <v>0.60362268518518525</v>
      </c>
      <c r="BL19" s="75">
        <v>0.61606481481481479</v>
      </c>
      <c r="BM19" s="73">
        <f t="shared" si="33"/>
        <v>1075</v>
      </c>
      <c r="BN19" s="74"/>
      <c r="BO19" s="119">
        <f t="shared" si="46"/>
        <v>1075</v>
      </c>
      <c r="BP19" s="121"/>
      <c r="BQ19" s="271">
        <v>0</v>
      </c>
      <c r="BR19" s="303">
        <f t="shared" si="35"/>
        <v>0</v>
      </c>
      <c r="BS19" s="304">
        <v>0</v>
      </c>
      <c r="BT19" s="175">
        <v>62.8</v>
      </c>
      <c r="BU19" s="305">
        <f t="shared" si="36"/>
        <v>62.8</v>
      </c>
      <c r="BV19" s="74"/>
      <c r="BW19" s="74"/>
      <c r="BX19" s="74"/>
      <c r="BY19" s="74"/>
      <c r="BZ19" s="119">
        <f t="shared" si="37"/>
        <v>62.8</v>
      </c>
      <c r="CA19" s="65" t="s">
        <v>526</v>
      </c>
      <c r="CB19" s="66" t="s">
        <v>519</v>
      </c>
      <c r="CC19" s="209">
        <v>3</v>
      </c>
      <c r="CD19" s="124">
        <f t="shared" si="38"/>
        <v>360</v>
      </c>
      <c r="CE19" s="210"/>
      <c r="CF19" s="124">
        <f t="shared" si="39"/>
        <v>0</v>
      </c>
      <c r="CI19" s="67" t="s">
        <v>237</v>
      </c>
      <c r="CJ19" s="118">
        <f t="shared" si="40"/>
        <v>0</v>
      </c>
      <c r="CK19" s="76" t="e">
        <f t="shared" si="41"/>
        <v>#NAME?</v>
      </c>
      <c r="CL19" s="68" t="e">
        <f t="shared" si="42"/>
        <v>#NAME?</v>
      </c>
      <c r="CM19" s="69" t="e">
        <f t="shared" si="43"/>
        <v>#NAME?</v>
      </c>
      <c r="CN19" s="77">
        <v>0.4916666666666667</v>
      </c>
      <c r="CO19" s="74"/>
      <c r="CP19" s="68" t="e">
        <f t="shared" si="44"/>
        <v>#NAME?</v>
      </c>
      <c r="CQ19" s="118" t="e">
        <f t="shared" si="45"/>
        <v>#NAME?</v>
      </c>
    </row>
    <row r="20" spans="1:95" x14ac:dyDescent="0.25">
      <c r="A20" s="259"/>
      <c r="B20" s="373">
        <v>19</v>
      </c>
      <c r="C20" s="311"/>
      <c r="D20" s="211" t="s">
        <v>117</v>
      </c>
      <c r="E20" s="212" t="s">
        <v>258</v>
      </c>
      <c r="F20" s="212" t="s">
        <v>118</v>
      </c>
      <c r="G20" s="212" t="s">
        <v>119</v>
      </c>
      <c r="H20" s="213" t="s">
        <v>27</v>
      </c>
      <c r="I20" s="213"/>
      <c r="J20" s="177">
        <f t="shared" si="0"/>
        <v>1395.5</v>
      </c>
      <c r="K20" s="123"/>
      <c r="L20" s="78"/>
      <c r="M20" s="67">
        <v>0.5131944444444444</v>
      </c>
      <c r="N20" s="118">
        <f t="shared" si="1"/>
        <v>0</v>
      </c>
      <c r="O20" s="76">
        <f t="shared" si="2"/>
        <v>60</v>
      </c>
      <c r="P20" s="122">
        <f t="shared" si="3"/>
        <v>0</v>
      </c>
      <c r="Q20" s="117">
        <f t="shared" si="4"/>
        <v>0.55486111111111103</v>
      </c>
      <c r="R20" s="176">
        <v>0.55763888888888891</v>
      </c>
      <c r="S20" s="68">
        <f t="shared" si="5"/>
        <v>4</v>
      </c>
      <c r="T20" s="118">
        <f t="shared" si="6"/>
        <v>240</v>
      </c>
      <c r="U20" s="76">
        <f t="shared" si="7"/>
        <v>25</v>
      </c>
      <c r="V20" s="122">
        <v>0</v>
      </c>
      <c r="W20" s="117">
        <f t="shared" si="8"/>
        <v>0.57777777777777783</v>
      </c>
      <c r="X20" s="176">
        <v>0.57638888888888895</v>
      </c>
      <c r="Y20" s="68">
        <f t="shared" si="9"/>
        <v>-2</v>
      </c>
      <c r="Z20" s="118">
        <f t="shared" si="10"/>
        <v>240</v>
      </c>
      <c r="AA20" s="76">
        <f t="shared" si="11"/>
        <v>7</v>
      </c>
      <c r="AB20" s="122">
        <v>0</v>
      </c>
      <c r="AC20" s="117">
        <f t="shared" si="12"/>
        <v>0.58125000000000004</v>
      </c>
      <c r="AD20" s="176">
        <v>0.58611111111111114</v>
      </c>
      <c r="AE20" s="68">
        <f t="shared" si="13"/>
        <v>7</v>
      </c>
      <c r="AF20" s="118">
        <f t="shared" si="14"/>
        <v>420</v>
      </c>
      <c r="AG20" s="76">
        <f t="shared" si="15"/>
        <v>70</v>
      </c>
      <c r="AH20" s="122">
        <v>0</v>
      </c>
      <c r="AI20" s="117">
        <f t="shared" si="16"/>
        <v>0.63541666666666674</v>
      </c>
      <c r="AJ20" s="68">
        <f t="shared" si="17"/>
        <v>7</v>
      </c>
      <c r="AK20" s="176">
        <v>0.63472222222222219</v>
      </c>
      <c r="AL20" s="68">
        <f t="shared" si="18"/>
        <v>-1</v>
      </c>
      <c r="AM20" s="118">
        <f t="shared" si="19"/>
        <v>0</v>
      </c>
      <c r="AN20" s="121"/>
      <c r="AO20" s="75">
        <v>0.54767361111111112</v>
      </c>
      <c r="AP20" s="72">
        <f t="shared" si="20"/>
        <v>0</v>
      </c>
      <c r="AQ20" s="68">
        <f t="shared" si="21"/>
        <v>443</v>
      </c>
      <c r="AR20" s="59">
        <f t="shared" si="22"/>
        <v>0.55280092592592589</v>
      </c>
      <c r="AS20" s="75">
        <v>0.55285879629629631</v>
      </c>
      <c r="AT20" s="73">
        <f t="shared" si="23"/>
        <v>5</v>
      </c>
      <c r="AU20" s="74"/>
      <c r="AV20" s="119">
        <f t="shared" si="24"/>
        <v>5</v>
      </c>
      <c r="AW20" s="121"/>
      <c r="AX20" s="70">
        <v>0.56041666666666667</v>
      </c>
      <c r="AY20" s="72">
        <f t="shared" si="25"/>
        <v>0</v>
      </c>
      <c r="AZ20" s="68">
        <f t="shared" si="26"/>
        <v>478</v>
      </c>
      <c r="BA20" s="356">
        <v>700</v>
      </c>
      <c r="BB20" s="59">
        <f t="shared" si="27"/>
        <v>0.56851851851851853</v>
      </c>
      <c r="BC20" s="75">
        <v>0.56854166666666661</v>
      </c>
      <c r="BD20" s="73">
        <f t="shared" si="28"/>
        <v>2</v>
      </c>
      <c r="BE20" s="74"/>
      <c r="BF20" s="119">
        <f t="shared" si="29"/>
        <v>2</v>
      </c>
      <c r="BG20" s="121"/>
      <c r="BH20" s="70">
        <v>0.58680555555555558</v>
      </c>
      <c r="BI20" s="72">
        <f t="shared" si="30"/>
        <v>0</v>
      </c>
      <c r="BJ20" s="68">
        <f t="shared" si="31"/>
        <v>1393</v>
      </c>
      <c r="BK20" s="59">
        <f t="shared" si="32"/>
        <v>0.60292824074074081</v>
      </c>
      <c r="BL20" s="75">
        <v>0.60364583333333333</v>
      </c>
      <c r="BM20" s="73">
        <f t="shared" si="33"/>
        <v>62</v>
      </c>
      <c r="BN20" s="74"/>
      <c r="BO20" s="119">
        <f t="shared" si="46"/>
        <v>62</v>
      </c>
      <c r="BP20" s="121"/>
      <c r="BQ20" s="271">
        <v>0</v>
      </c>
      <c r="BR20" s="303">
        <f t="shared" si="35"/>
        <v>0</v>
      </c>
      <c r="BS20" s="304">
        <v>0</v>
      </c>
      <c r="BT20" s="175">
        <v>66.48</v>
      </c>
      <c r="BU20" s="305">
        <f t="shared" si="36"/>
        <v>66.5</v>
      </c>
      <c r="BV20" s="74"/>
      <c r="BW20" s="74"/>
      <c r="BX20" s="74"/>
      <c r="BY20" s="74"/>
      <c r="BZ20" s="119">
        <f t="shared" si="37"/>
        <v>66.5</v>
      </c>
      <c r="CA20" s="65" t="s">
        <v>526</v>
      </c>
      <c r="CB20" s="66" t="s">
        <v>519</v>
      </c>
      <c r="CC20" s="209">
        <v>3</v>
      </c>
      <c r="CD20" s="124">
        <f t="shared" si="38"/>
        <v>360</v>
      </c>
      <c r="CE20" s="210"/>
      <c r="CF20" s="124">
        <f t="shared" si="39"/>
        <v>0</v>
      </c>
      <c r="CI20" s="67" t="s">
        <v>237</v>
      </c>
      <c r="CJ20" s="118">
        <f t="shared" si="40"/>
        <v>0</v>
      </c>
      <c r="CK20" s="76" t="e">
        <f t="shared" si="41"/>
        <v>#NAME?</v>
      </c>
      <c r="CL20" s="68" t="e">
        <f t="shared" si="42"/>
        <v>#NAME?</v>
      </c>
      <c r="CM20" s="69" t="e">
        <f t="shared" si="43"/>
        <v>#NAME?</v>
      </c>
      <c r="CN20" s="77">
        <v>0.4916666666666667</v>
      </c>
      <c r="CO20" s="74"/>
      <c r="CP20" s="68" t="e">
        <f t="shared" si="44"/>
        <v>#NAME?</v>
      </c>
      <c r="CQ20" s="118" t="e">
        <f t="shared" si="45"/>
        <v>#NAME?</v>
      </c>
    </row>
    <row r="21" spans="1:95" x14ac:dyDescent="0.25">
      <c r="A21" s="259"/>
      <c r="B21" s="373">
        <v>20</v>
      </c>
      <c r="C21" s="311"/>
      <c r="D21" s="211" t="s">
        <v>467</v>
      </c>
      <c r="E21" s="212" t="s">
        <v>468</v>
      </c>
      <c r="F21" s="212" t="s">
        <v>260</v>
      </c>
      <c r="G21" s="212" t="s">
        <v>75</v>
      </c>
      <c r="H21" s="213" t="s">
        <v>27</v>
      </c>
      <c r="I21" s="213"/>
      <c r="J21" s="177">
        <f t="shared" si="0"/>
        <v>486.4</v>
      </c>
      <c r="K21" s="123"/>
      <c r="L21" s="78"/>
      <c r="M21" s="67">
        <v>0.51388888888888895</v>
      </c>
      <c r="N21" s="118">
        <f t="shared" si="1"/>
        <v>0</v>
      </c>
      <c r="O21" s="76">
        <f t="shared" si="2"/>
        <v>60</v>
      </c>
      <c r="P21" s="122">
        <f t="shared" si="3"/>
        <v>0</v>
      </c>
      <c r="Q21" s="117">
        <f t="shared" si="4"/>
        <v>0.55555555555555558</v>
      </c>
      <c r="R21" s="176">
        <v>0.55555555555555558</v>
      </c>
      <c r="S21" s="68">
        <f t="shared" si="5"/>
        <v>0</v>
      </c>
      <c r="T21" s="118">
        <f t="shared" si="6"/>
        <v>0</v>
      </c>
      <c r="U21" s="76">
        <f t="shared" si="7"/>
        <v>25</v>
      </c>
      <c r="V21" s="122">
        <v>0</v>
      </c>
      <c r="W21" s="117">
        <f t="shared" si="8"/>
        <v>0.57500000000000007</v>
      </c>
      <c r="X21" s="176">
        <v>0.57500000000000007</v>
      </c>
      <c r="Y21" s="68">
        <f t="shared" si="9"/>
        <v>0</v>
      </c>
      <c r="Z21" s="118">
        <f t="shared" si="10"/>
        <v>0</v>
      </c>
      <c r="AA21" s="76">
        <f t="shared" si="11"/>
        <v>7</v>
      </c>
      <c r="AB21" s="122">
        <v>0</v>
      </c>
      <c r="AC21" s="117">
        <f t="shared" si="12"/>
        <v>0.57986111111111116</v>
      </c>
      <c r="AD21" s="176">
        <v>0.5805555555555556</v>
      </c>
      <c r="AE21" s="68">
        <f t="shared" si="13"/>
        <v>1</v>
      </c>
      <c r="AF21" s="118">
        <f t="shared" si="14"/>
        <v>60</v>
      </c>
      <c r="AG21" s="76">
        <f t="shared" si="15"/>
        <v>70</v>
      </c>
      <c r="AH21" s="122">
        <v>0</v>
      </c>
      <c r="AI21" s="117">
        <f t="shared" si="16"/>
        <v>0.62986111111111109</v>
      </c>
      <c r="AJ21" s="68">
        <f t="shared" si="17"/>
        <v>7</v>
      </c>
      <c r="AK21" s="176">
        <v>0.62986111111111109</v>
      </c>
      <c r="AL21" s="68">
        <f t="shared" si="18"/>
        <v>0</v>
      </c>
      <c r="AM21" s="118">
        <f t="shared" si="19"/>
        <v>0</v>
      </c>
      <c r="AN21" s="121"/>
      <c r="AO21" s="75">
        <v>0.54495370370370366</v>
      </c>
      <c r="AP21" s="72">
        <f t="shared" si="20"/>
        <v>0</v>
      </c>
      <c r="AQ21" s="68">
        <f t="shared" si="21"/>
        <v>443</v>
      </c>
      <c r="AR21" s="59">
        <f t="shared" si="22"/>
        <v>0.55008101851851843</v>
      </c>
      <c r="AS21" s="75">
        <v>0.54956018518518512</v>
      </c>
      <c r="AT21" s="73">
        <f t="shared" si="23"/>
        <v>-45</v>
      </c>
      <c r="AU21" s="74"/>
      <c r="AV21" s="119">
        <f t="shared" si="24"/>
        <v>45</v>
      </c>
      <c r="AW21" s="121"/>
      <c r="AX21" s="70">
        <v>0.55763888888888891</v>
      </c>
      <c r="AY21" s="72">
        <f t="shared" si="25"/>
        <v>0</v>
      </c>
      <c r="AZ21" s="68">
        <f t="shared" si="26"/>
        <v>478</v>
      </c>
      <c r="BA21" s="356">
        <v>700</v>
      </c>
      <c r="BB21" s="59">
        <f t="shared" si="27"/>
        <v>0.56574074074074077</v>
      </c>
      <c r="BC21" s="75">
        <v>0.56606481481481474</v>
      </c>
      <c r="BD21" s="73">
        <f t="shared" si="28"/>
        <v>28</v>
      </c>
      <c r="BE21" s="74"/>
      <c r="BF21" s="119">
        <f t="shared" si="29"/>
        <v>28</v>
      </c>
      <c r="BG21" s="121"/>
      <c r="BH21" s="70">
        <v>0.58124999999999993</v>
      </c>
      <c r="BI21" s="72">
        <f t="shared" si="30"/>
        <v>0</v>
      </c>
      <c r="BJ21" s="68">
        <f t="shared" si="31"/>
        <v>1393</v>
      </c>
      <c r="BK21" s="59">
        <f t="shared" si="32"/>
        <v>0.59737268518518516</v>
      </c>
      <c r="BL21" s="75">
        <v>0.60076388888888888</v>
      </c>
      <c r="BM21" s="73">
        <f t="shared" si="33"/>
        <v>293</v>
      </c>
      <c r="BN21" s="74"/>
      <c r="BO21" s="119">
        <f t="shared" si="46"/>
        <v>293</v>
      </c>
      <c r="BP21" s="121"/>
      <c r="BQ21" s="271">
        <v>0</v>
      </c>
      <c r="BR21" s="303">
        <f t="shared" si="35"/>
        <v>0</v>
      </c>
      <c r="BS21" s="304">
        <v>0</v>
      </c>
      <c r="BT21" s="375">
        <v>60.38</v>
      </c>
      <c r="BU21" s="305">
        <f t="shared" si="36"/>
        <v>60.4</v>
      </c>
      <c r="BV21" s="74"/>
      <c r="BW21" s="74"/>
      <c r="BX21" s="74"/>
      <c r="BY21" s="74"/>
      <c r="BZ21" s="119">
        <f t="shared" si="37"/>
        <v>60.4</v>
      </c>
      <c r="CA21" s="65" t="s">
        <v>519</v>
      </c>
      <c r="CB21" s="66" t="s">
        <v>519</v>
      </c>
      <c r="CC21" s="209">
        <v>0</v>
      </c>
      <c r="CD21" s="124">
        <f t="shared" si="38"/>
        <v>0</v>
      </c>
      <c r="CE21" s="210"/>
      <c r="CF21" s="124">
        <f t="shared" si="39"/>
        <v>0</v>
      </c>
      <c r="CI21" s="67" t="s">
        <v>237</v>
      </c>
      <c r="CJ21" s="118">
        <f t="shared" si="40"/>
        <v>0</v>
      </c>
      <c r="CK21" s="76" t="e">
        <f t="shared" si="41"/>
        <v>#NAME?</v>
      </c>
      <c r="CL21" s="68" t="e">
        <f t="shared" si="42"/>
        <v>#NAME?</v>
      </c>
      <c r="CM21" s="69" t="e">
        <f t="shared" si="43"/>
        <v>#NAME?</v>
      </c>
      <c r="CN21" s="77">
        <v>0.4916666666666667</v>
      </c>
      <c r="CO21" s="74"/>
      <c r="CP21" s="68" t="e">
        <f t="shared" si="44"/>
        <v>#NAME?</v>
      </c>
      <c r="CQ21" s="118" t="e">
        <f t="shared" si="45"/>
        <v>#NAME?</v>
      </c>
    </row>
    <row r="22" spans="1:95" x14ac:dyDescent="0.25">
      <c r="A22" s="259"/>
      <c r="B22" s="373">
        <v>21</v>
      </c>
      <c r="C22" s="311"/>
      <c r="D22" s="211" t="s">
        <v>238</v>
      </c>
      <c r="E22" s="212" t="s">
        <v>39</v>
      </c>
      <c r="F22" s="212" t="s">
        <v>531</v>
      </c>
      <c r="G22" s="212" t="s">
        <v>77</v>
      </c>
      <c r="H22" s="213" t="s">
        <v>27</v>
      </c>
      <c r="I22" s="213"/>
      <c r="J22" s="177">
        <f t="shared" si="0"/>
        <v>2919.4</v>
      </c>
      <c r="K22" s="123"/>
      <c r="L22" s="78"/>
      <c r="M22" s="67">
        <v>0.51458333333333328</v>
      </c>
      <c r="N22" s="118">
        <f t="shared" si="1"/>
        <v>0</v>
      </c>
      <c r="O22" s="76">
        <f t="shared" si="2"/>
        <v>60</v>
      </c>
      <c r="P22" s="122">
        <f t="shared" si="3"/>
        <v>0</v>
      </c>
      <c r="Q22" s="117">
        <f t="shared" si="4"/>
        <v>0.55624999999999991</v>
      </c>
      <c r="R22" s="176">
        <v>0.55625000000000002</v>
      </c>
      <c r="S22" s="68">
        <f t="shared" si="5"/>
        <v>0</v>
      </c>
      <c r="T22" s="118">
        <f t="shared" si="6"/>
        <v>0</v>
      </c>
      <c r="U22" s="76">
        <f t="shared" si="7"/>
        <v>25</v>
      </c>
      <c r="V22" s="122">
        <v>0</v>
      </c>
      <c r="W22" s="117">
        <f t="shared" si="8"/>
        <v>0.57569444444444451</v>
      </c>
      <c r="X22" s="176">
        <v>0.57291666666666663</v>
      </c>
      <c r="Y22" s="68">
        <f t="shared" si="9"/>
        <v>-4</v>
      </c>
      <c r="Z22" s="118">
        <f t="shared" si="10"/>
        <v>480</v>
      </c>
      <c r="AA22" s="76">
        <f t="shared" si="11"/>
        <v>7</v>
      </c>
      <c r="AB22" s="122">
        <v>0</v>
      </c>
      <c r="AC22" s="117">
        <f t="shared" si="12"/>
        <v>0.57777777777777772</v>
      </c>
      <c r="AD22" s="176">
        <v>0.58958333333333335</v>
      </c>
      <c r="AE22" s="68">
        <f t="shared" si="13"/>
        <v>17</v>
      </c>
      <c r="AF22" s="118">
        <f t="shared" si="14"/>
        <v>1020</v>
      </c>
      <c r="AG22" s="76">
        <f t="shared" si="15"/>
        <v>70</v>
      </c>
      <c r="AH22" s="122">
        <v>0</v>
      </c>
      <c r="AI22" s="117">
        <f t="shared" si="16"/>
        <v>0.63958333333333339</v>
      </c>
      <c r="AJ22" s="68">
        <f t="shared" si="17"/>
        <v>7</v>
      </c>
      <c r="AK22" s="176">
        <v>0.63958333333333328</v>
      </c>
      <c r="AL22" s="68">
        <f t="shared" si="18"/>
        <v>0</v>
      </c>
      <c r="AM22" s="118">
        <f t="shared" si="19"/>
        <v>0</v>
      </c>
      <c r="AN22" s="121"/>
      <c r="AO22" s="75">
        <v>0.53553240740740737</v>
      </c>
      <c r="AP22" s="72">
        <f t="shared" si="20"/>
        <v>0</v>
      </c>
      <c r="AQ22" s="68">
        <f t="shared" si="21"/>
        <v>443</v>
      </c>
      <c r="AR22" s="59">
        <f t="shared" si="22"/>
        <v>0.54065972222222214</v>
      </c>
      <c r="AS22" s="75">
        <v>0.54078703703703701</v>
      </c>
      <c r="AT22" s="73">
        <f t="shared" si="23"/>
        <v>11</v>
      </c>
      <c r="AU22" s="74"/>
      <c r="AV22" s="119">
        <f t="shared" si="24"/>
        <v>11</v>
      </c>
      <c r="AW22" s="121"/>
      <c r="AX22" s="70">
        <v>0.55833333333333335</v>
      </c>
      <c r="AY22" s="72">
        <f t="shared" si="25"/>
        <v>0</v>
      </c>
      <c r="AZ22" s="68">
        <f t="shared" si="26"/>
        <v>478</v>
      </c>
      <c r="BA22" s="356">
        <v>700</v>
      </c>
      <c r="BB22" s="59">
        <f t="shared" si="27"/>
        <v>0.56643518518518521</v>
      </c>
      <c r="BC22" s="75">
        <v>0.56920138888888883</v>
      </c>
      <c r="BD22" s="73">
        <f t="shared" si="28"/>
        <v>239</v>
      </c>
      <c r="BE22" s="74"/>
      <c r="BF22" s="119">
        <f t="shared" si="29"/>
        <v>239</v>
      </c>
      <c r="BG22" s="121"/>
      <c r="BH22" s="70">
        <v>0.59097222222222223</v>
      </c>
      <c r="BI22" s="72">
        <f t="shared" si="30"/>
        <v>0</v>
      </c>
      <c r="BJ22" s="68">
        <f t="shared" si="31"/>
        <v>1393</v>
      </c>
      <c r="BK22" s="59">
        <f t="shared" si="32"/>
        <v>0.60709490740740746</v>
      </c>
      <c r="BL22" s="75">
        <v>0.61805555555555558</v>
      </c>
      <c r="BM22" s="73">
        <f t="shared" si="33"/>
        <v>947</v>
      </c>
      <c r="BN22" s="74"/>
      <c r="BO22" s="119">
        <f t="shared" si="46"/>
        <v>947</v>
      </c>
      <c r="BP22" s="121"/>
      <c r="BQ22" s="271">
        <v>0</v>
      </c>
      <c r="BR22" s="303">
        <f t="shared" si="35"/>
        <v>0</v>
      </c>
      <c r="BS22" s="304">
        <v>0</v>
      </c>
      <c r="BT22" s="175">
        <v>82.42</v>
      </c>
      <c r="BU22" s="305">
        <f t="shared" si="36"/>
        <v>82.4</v>
      </c>
      <c r="BV22" s="74"/>
      <c r="BW22" s="74">
        <v>2</v>
      </c>
      <c r="BX22" s="74"/>
      <c r="BY22" s="74"/>
      <c r="BZ22" s="119">
        <f t="shared" si="37"/>
        <v>102.4</v>
      </c>
      <c r="CA22" s="65" t="s">
        <v>527</v>
      </c>
      <c r="CB22" s="66" t="s">
        <v>519</v>
      </c>
      <c r="CC22" s="209">
        <v>1</v>
      </c>
      <c r="CD22" s="124">
        <f t="shared" si="38"/>
        <v>120</v>
      </c>
      <c r="CE22" s="210"/>
      <c r="CF22" s="124">
        <f t="shared" si="39"/>
        <v>0</v>
      </c>
      <c r="CI22" s="67" t="s">
        <v>237</v>
      </c>
      <c r="CJ22" s="118">
        <f t="shared" si="40"/>
        <v>0</v>
      </c>
      <c r="CK22" s="76" t="e">
        <f t="shared" si="41"/>
        <v>#NAME?</v>
      </c>
      <c r="CL22" s="68" t="e">
        <f t="shared" si="42"/>
        <v>#NAME?</v>
      </c>
      <c r="CM22" s="69" t="e">
        <f t="shared" si="43"/>
        <v>#NAME?</v>
      </c>
      <c r="CN22" s="77">
        <v>0.4916666666666667</v>
      </c>
      <c r="CO22" s="74"/>
      <c r="CP22" s="68" t="e">
        <f t="shared" si="44"/>
        <v>#NAME?</v>
      </c>
      <c r="CQ22" s="118" t="e">
        <f t="shared" si="45"/>
        <v>#NAME?</v>
      </c>
    </row>
    <row r="23" spans="1:95" x14ac:dyDescent="0.25">
      <c r="A23" s="259"/>
      <c r="B23" s="373">
        <v>22</v>
      </c>
      <c r="C23" s="311"/>
      <c r="D23" s="211" t="s">
        <v>128</v>
      </c>
      <c r="E23" s="212" t="s">
        <v>469</v>
      </c>
      <c r="F23" s="212" t="s">
        <v>129</v>
      </c>
      <c r="G23" s="212" t="s">
        <v>470</v>
      </c>
      <c r="H23" s="213" t="s">
        <v>27</v>
      </c>
      <c r="I23" s="213"/>
      <c r="J23" s="177">
        <f t="shared" si="0"/>
        <v>6678.5</v>
      </c>
      <c r="K23" s="123"/>
      <c r="L23" s="78"/>
      <c r="M23" s="67">
        <v>0.51527777777777795</v>
      </c>
      <c r="N23" s="118">
        <f t="shared" si="1"/>
        <v>0</v>
      </c>
      <c r="O23" s="76">
        <f t="shared" si="2"/>
        <v>60</v>
      </c>
      <c r="P23" s="122">
        <f t="shared" si="3"/>
        <v>0</v>
      </c>
      <c r="Q23" s="117">
        <f t="shared" si="4"/>
        <v>0.55694444444444458</v>
      </c>
      <c r="R23" s="176">
        <v>0.55625000000000002</v>
      </c>
      <c r="S23" s="68">
        <f t="shared" si="5"/>
        <v>-1</v>
      </c>
      <c r="T23" s="118">
        <f t="shared" si="6"/>
        <v>0</v>
      </c>
      <c r="U23" s="76">
        <f t="shared" si="7"/>
        <v>25</v>
      </c>
      <c r="V23" s="122">
        <v>0</v>
      </c>
      <c r="W23" s="117">
        <f t="shared" si="8"/>
        <v>0.57638888888888895</v>
      </c>
      <c r="X23" s="176">
        <v>0.5756944444444444</v>
      </c>
      <c r="Y23" s="68">
        <f t="shared" si="9"/>
        <v>-1</v>
      </c>
      <c r="Z23" s="118">
        <f t="shared" si="10"/>
        <v>0</v>
      </c>
      <c r="AA23" s="76">
        <f t="shared" si="11"/>
        <v>7</v>
      </c>
      <c r="AB23" s="122">
        <v>0</v>
      </c>
      <c r="AC23" s="117">
        <f t="shared" si="12"/>
        <v>0.58055555555555549</v>
      </c>
      <c r="AD23" s="176"/>
      <c r="AE23" s="68" t="str">
        <f t="shared" si="13"/>
        <v/>
      </c>
      <c r="AF23" s="118">
        <f t="shared" si="14"/>
        <v>1800</v>
      </c>
      <c r="AG23" s="76">
        <f t="shared" si="15"/>
        <v>70</v>
      </c>
      <c r="AH23" s="122">
        <v>0</v>
      </c>
      <c r="AI23" s="117">
        <f t="shared" si="16"/>
        <v>0.62916666666666665</v>
      </c>
      <c r="AJ23" s="68">
        <f t="shared" si="17"/>
        <v>7</v>
      </c>
      <c r="AK23" s="176">
        <v>0.65208333333333335</v>
      </c>
      <c r="AL23" s="68">
        <f t="shared" si="18"/>
        <v>33</v>
      </c>
      <c r="AM23" s="118">
        <f t="shared" si="19"/>
        <v>1980</v>
      </c>
      <c r="AN23" s="121"/>
      <c r="AO23" s="75">
        <v>0.54497685185185185</v>
      </c>
      <c r="AP23" s="72">
        <f t="shared" si="20"/>
        <v>0</v>
      </c>
      <c r="AQ23" s="68">
        <f t="shared" si="21"/>
        <v>443</v>
      </c>
      <c r="AR23" s="59">
        <f t="shared" si="22"/>
        <v>0.55010416666666662</v>
      </c>
      <c r="AS23" s="75">
        <v>0.54962962962962958</v>
      </c>
      <c r="AT23" s="73">
        <f t="shared" si="23"/>
        <v>-41</v>
      </c>
      <c r="AU23" s="74"/>
      <c r="AV23" s="119">
        <f t="shared" si="24"/>
        <v>41</v>
      </c>
      <c r="AW23" s="121"/>
      <c r="AX23" s="70">
        <v>0.55902777777777779</v>
      </c>
      <c r="AY23" s="72">
        <f t="shared" si="25"/>
        <v>0</v>
      </c>
      <c r="AZ23" s="68">
        <f t="shared" si="26"/>
        <v>478</v>
      </c>
      <c r="BA23" s="356">
        <v>700</v>
      </c>
      <c r="BB23" s="59">
        <f t="shared" si="27"/>
        <v>0.56712962962962965</v>
      </c>
      <c r="BC23" s="75">
        <v>0.56717592592592592</v>
      </c>
      <c r="BD23" s="73">
        <f t="shared" si="28"/>
        <v>4</v>
      </c>
      <c r="BE23" s="74"/>
      <c r="BF23" s="119">
        <f t="shared" si="29"/>
        <v>4</v>
      </c>
      <c r="BG23" s="121"/>
      <c r="BH23" s="70"/>
      <c r="BI23" s="72">
        <f t="shared" si="30"/>
        <v>0</v>
      </c>
      <c r="BJ23" s="68">
        <f t="shared" si="31"/>
        <v>1393</v>
      </c>
      <c r="BK23" s="59">
        <f t="shared" si="32"/>
        <v>1.6122685185185184E-2</v>
      </c>
      <c r="BL23" s="75">
        <v>0.61481481481481481</v>
      </c>
      <c r="BM23" s="73">
        <f t="shared" si="33"/>
        <v>51727</v>
      </c>
      <c r="BN23" s="74"/>
      <c r="BO23" s="119">
        <f t="shared" si="46"/>
        <v>1800</v>
      </c>
      <c r="BP23" s="121"/>
      <c r="BQ23" s="271">
        <v>0</v>
      </c>
      <c r="BR23" s="303">
        <f t="shared" si="35"/>
        <v>0</v>
      </c>
      <c r="BS23" s="304">
        <v>0</v>
      </c>
      <c r="BT23" s="175">
        <v>53.52</v>
      </c>
      <c r="BU23" s="305">
        <f t="shared" si="36"/>
        <v>53.5</v>
      </c>
      <c r="BV23" s="74"/>
      <c r="BW23" s="74"/>
      <c r="BX23" s="74"/>
      <c r="BY23" s="74"/>
      <c r="BZ23" s="119">
        <f t="shared" si="37"/>
        <v>53.5</v>
      </c>
      <c r="CA23" s="65" t="s">
        <v>519</v>
      </c>
      <c r="CB23" s="66" t="s">
        <v>519</v>
      </c>
      <c r="CC23" s="209">
        <v>0</v>
      </c>
      <c r="CD23" s="124">
        <f t="shared" si="38"/>
        <v>0</v>
      </c>
      <c r="CE23" s="210">
        <v>1</v>
      </c>
      <c r="CF23" s="124">
        <f t="shared" si="39"/>
        <v>1000</v>
      </c>
      <c r="CI23" s="67" t="s">
        <v>237</v>
      </c>
      <c r="CJ23" s="118">
        <f t="shared" si="40"/>
        <v>0</v>
      </c>
      <c r="CK23" s="76" t="e">
        <f t="shared" si="41"/>
        <v>#NAME?</v>
      </c>
      <c r="CL23" s="68" t="e">
        <f t="shared" si="42"/>
        <v>#NAME?</v>
      </c>
      <c r="CM23" s="69" t="e">
        <f t="shared" si="43"/>
        <v>#NAME?</v>
      </c>
      <c r="CN23" s="77">
        <v>0.4916666666666667</v>
      </c>
      <c r="CO23" s="74"/>
      <c r="CP23" s="68" t="e">
        <f t="shared" si="44"/>
        <v>#NAME?</v>
      </c>
      <c r="CQ23" s="118" t="e">
        <f t="shared" si="45"/>
        <v>#NAME?</v>
      </c>
    </row>
    <row r="24" spans="1:95" x14ac:dyDescent="0.25">
      <c r="A24" s="367"/>
      <c r="B24" s="374">
        <v>23</v>
      </c>
      <c r="C24" s="311"/>
      <c r="D24" s="368" t="s">
        <v>110</v>
      </c>
      <c r="E24" s="369" t="s">
        <v>255</v>
      </c>
      <c r="F24" s="369" t="s">
        <v>41</v>
      </c>
      <c r="G24" s="369" t="s">
        <v>498</v>
      </c>
      <c r="H24" s="370" t="s">
        <v>27</v>
      </c>
      <c r="I24" s="213"/>
      <c r="J24" s="177">
        <f t="shared" si="0"/>
        <v>1121.8</v>
      </c>
      <c r="K24" s="123"/>
      <c r="L24" s="78" t="s">
        <v>530</v>
      </c>
      <c r="M24" s="67">
        <v>0.51597222222222205</v>
      </c>
      <c r="N24" s="118">
        <f t="shared" si="1"/>
        <v>0</v>
      </c>
      <c r="O24" s="76">
        <f t="shared" si="2"/>
        <v>60</v>
      </c>
      <c r="P24" s="122">
        <f t="shared" si="3"/>
        <v>0</v>
      </c>
      <c r="Q24" s="117">
        <f t="shared" si="4"/>
        <v>0.55763888888888868</v>
      </c>
      <c r="R24" s="176">
        <v>0.55833333333333335</v>
      </c>
      <c r="S24" s="68">
        <f t="shared" si="5"/>
        <v>1</v>
      </c>
      <c r="T24" s="118">
        <f t="shared" si="6"/>
        <v>60</v>
      </c>
      <c r="U24" s="76">
        <f t="shared" si="7"/>
        <v>25</v>
      </c>
      <c r="V24" s="122">
        <v>0</v>
      </c>
      <c r="W24" s="117">
        <f t="shared" si="8"/>
        <v>0.57986111111111116</v>
      </c>
      <c r="X24" s="176">
        <v>0.57986111111111105</v>
      </c>
      <c r="Y24" s="68">
        <f t="shared" si="9"/>
        <v>0</v>
      </c>
      <c r="Z24" s="118">
        <f t="shared" si="10"/>
        <v>0</v>
      </c>
      <c r="AA24" s="76">
        <f t="shared" si="11"/>
        <v>7</v>
      </c>
      <c r="AB24" s="122">
        <v>0</v>
      </c>
      <c r="AC24" s="117">
        <f t="shared" si="12"/>
        <v>0.58472222222222214</v>
      </c>
      <c r="AD24" s="176">
        <v>0.58680555555555558</v>
      </c>
      <c r="AE24" s="68">
        <f t="shared" si="13"/>
        <v>3</v>
      </c>
      <c r="AF24" s="118">
        <f t="shared" si="14"/>
        <v>180</v>
      </c>
      <c r="AG24" s="76">
        <f t="shared" si="15"/>
        <v>70</v>
      </c>
      <c r="AH24" s="122">
        <v>0</v>
      </c>
      <c r="AI24" s="117">
        <f t="shared" si="16"/>
        <v>0.63680555555555562</v>
      </c>
      <c r="AJ24" s="68">
        <f t="shared" si="17"/>
        <v>7</v>
      </c>
      <c r="AK24" s="176">
        <v>0.63472222222222219</v>
      </c>
      <c r="AL24" s="68">
        <f t="shared" si="18"/>
        <v>-3</v>
      </c>
      <c r="AM24" s="118">
        <f t="shared" si="19"/>
        <v>0</v>
      </c>
      <c r="AN24" s="121"/>
      <c r="AO24" s="75">
        <v>0.54753472222222221</v>
      </c>
      <c r="AP24" s="72">
        <f t="shared" si="20"/>
        <v>0</v>
      </c>
      <c r="AQ24" s="68">
        <f t="shared" si="21"/>
        <v>443</v>
      </c>
      <c r="AR24" s="59">
        <f t="shared" si="22"/>
        <v>0.55266203703703698</v>
      </c>
      <c r="AS24" s="75">
        <v>0.5526388888888889</v>
      </c>
      <c r="AT24" s="73">
        <f t="shared" si="23"/>
        <v>-2</v>
      </c>
      <c r="AU24" s="74"/>
      <c r="AV24" s="119">
        <f t="shared" si="24"/>
        <v>2</v>
      </c>
      <c r="AW24" s="121"/>
      <c r="AX24" s="70">
        <v>0.5625</v>
      </c>
      <c r="AY24" s="72">
        <f t="shared" si="25"/>
        <v>0</v>
      </c>
      <c r="AZ24" s="68">
        <f t="shared" si="26"/>
        <v>478</v>
      </c>
      <c r="BA24" s="356">
        <v>700</v>
      </c>
      <c r="BB24" s="59">
        <f t="shared" si="27"/>
        <v>0.57060185185185186</v>
      </c>
      <c r="BC24" s="75">
        <v>0.57135416666666672</v>
      </c>
      <c r="BD24" s="73">
        <f t="shared" si="28"/>
        <v>65</v>
      </c>
      <c r="BE24" s="74"/>
      <c r="BF24" s="379">
        <v>0</v>
      </c>
      <c r="BG24" s="121"/>
      <c r="BH24" s="70">
        <v>0.58819444444444446</v>
      </c>
      <c r="BI24" s="72">
        <f t="shared" si="30"/>
        <v>0</v>
      </c>
      <c r="BJ24" s="68">
        <f t="shared" si="31"/>
        <v>1393</v>
      </c>
      <c r="BK24" s="59">
        <f t="shared" si="32"/>
        <v>0.60431712962962969</v>
      </c>
      <c r="BL24" s="75">
        <v>0.61053240740740744</v>
      </c>
      <c r="BM24" s="73">
        <f t="shared" si="33"/>
        <v>537</v>
      </c>
      <c r="BN24" s="74"/>
      <c r="BO24" s="119">
        <f t="shared" si="46"/>
        <v>537</v>
      </c>
      <c r="BP24" s="121"/>
      <c r="BQ24" s="271">
        <v>0</v>
      </c>
      <c r="BR24" s="303">
        <f t="shared" si="35"/>
        <v>0</v>
      </c>
      <c r="BS24" s="304">
        <v>0</v>
      </c>
      <c r="BT24" s="175">
        <v>102.76</v>
      </c>
      <c r="BU24" s="305">
        <f t="shared" si="36"/>
        <v>102.8</v>
      </c>
      <c r="BV24" s="74"/>
      <c r="BW24" s="74"/>
      <c r="BX24" s="74"/>
      <c r="BY24" s="74"/>
      <c r="BZ24" s="119">
        <f t="shared" si="37"/>
        <v>102.8</v>
      </c>
      <c r="CA24" s="65" t="s">
        <v>523</v>
      </c>
      <c r="CB24" s="66" t="s">
        <v>519</v>
      </c>
      <c r="CC24" s="209">
        <v>2</v>
      </c>
      <c r="CD24" s="124">
        <f t="shared" si="38"/>
        <v>240</v>
      </c>
      <c r="CE24" s="210"/>
      <c r="CF24" s="124">
        <f t="shared" si="39"/>
        <v>0</v>
      </c>
      <c r="CI24" s="67"/>
      <c r="CJ24" s="118"/>
      <c r="CK24" s="76"/>
      <c r="CL24" s="68"/>
      <c r="CM24" s="69"/>
      <c r="CN24" s="77"/>
      <c r="CO24" s="74"/>
      <c r="CP24" s="68"/>
      <c r="CQ24" s="118"/>
    </row>
    <row r="25" spans="1:95" x14ac:dyDescent="0.25">
      <c r="A25" s="357"/>
      <c r="B25" s="358">
        <v>24</v>
      </c>
      <c r="C25" s="359"/>
      <c r="D25" s="360" t="s">
        <v>505</v>
      </c>
      <c r="E25" s="361" t="s">
        <v>506</v>
      </c>
      <c r="F25" s="361" t="s">
        <v>507</v>
      </c>
      <c r="G25" s="361" t="s">
        <v>508</v>
      </c>
      <c r="H25" s="362" t="s">
        <v>28</v>
      </c>
      <c r="I25" s="213"/>
      <c r="J25" s="177">
        <f t="shared" si="0"/>
        <v>14521</v>
      </c>
      <c r="K25" s="123"/>
      <c r="L25" s="78"/>
      <c r="M25" s="67">
        <v>0.51666666666666605</v>
      </c>
      <c r="N25" s="118">
        <f t="shared" si="1"/>
        <v>0</v>
      </c>
      <c r="O25" s="76">
        <f t="shared" si="2"/>
        <v>60</v>
      </c>
      <c r="P25" s="122">
        <f t="shared" si="3"/>
        <v>0</v>
      </c>
      <c r="Q25" s="117">
        <f t="shared" si="4"/>
        <v>0.55833333333333268</v>
      </c>
      <c r="R25" s="176">
        <v>0.58333333333333337</v>
      </c>
      <c r="S25" s="68">
        <f t="shared" si="5"/>
        <v>36</v>
      </c>
      <c r="T25" s="118">
        <f t="shared" si="6"/>
        <v>2160</v>
      </c>
      <c r="U25" s="76">
        <f t="shared" si="7"/>
        <v>25</v>
      </c>
      <c r="V25" s="122">
        <v>0</v>
      </c>
      <c r="W25" s="117">
        <f t="shared" si="8"/>
        <v>0.60208333333333341</v>
      </c>
      <c r="X25" s="176"/>
      <c r="Y25" s="68" t="str">
        <f t="shared" si="9"/>
        <v/>
      </c>
      <c r="Z25" s="118">
        <f t="shared" si="10"/>
        <v>1800</v>
      </c>
      <c r="AA25" s="76">
        <f t="shared" si="11"/>
        <v>7</v>
      </c>
      <c r="AB25" s="122">
        <v>0</v>
      </c>
      <c r="AC25" s="117">
        <f t="shared" si="12"/>
        <v>0.60694444444444451</v>
      </c>
      <c r="AD25" s="176"/>
      <c r="AE25" s="68" t="str">
        <f t="shared" si="13"/>
        <v/>
      </c>
      <c r="AF25" s="118">
        <f t="shared" si="14"/>
        <v>1800</v>
      </c>
      <c r="AG25" s="76">
        <f t="shared" si="15"/>
        <v>70</v>
      </c>
      <c r="AH25" s="122">
        <v>0</v>
      </c>
      <c r="AI25" s="117">
        <f t="shared" si="16"/>
        <v>0.65555555555555567</v>
      </c>
      <c r="AJ25" s="68">
        <f t="shared" si="17"/>
        <v>7</v>
      </c>
      <c r="AK25" s="176">
        <v>0.64583333333333337</v>
      </c>
      <c r="AL25" s="68">
        <f t="shared" si="18"/>
        <v>-14</v>
      </c>
      <c r="AM25" s="118">
        <f t="shared" si="19"/>
        <v>1680</v>
      </c>
      <c r="AN25" s="121"/>
      <c r="AO25" s="75">
        <v>0.55341435185185184</v>
      </c>
      <c r="AP25" s="72">
        <f t="shared" si="20"/>
        <v>0</v>
      </c>
      <c r="AQ25" s="68">
        <f t="shared" si="21"/>
        <v>443</v>
      </c>
      <c r="AR25" s="59">
        <f t="shared" si="22"/>
        <v>0.5585416666666666</v>
      </c>
      <c r="AS25" s="75">
        <v>0.55868055555555551</v>
      </c>
      <c r="AT25" s="73">
        <f t="shared" si="23"/>
        <v>12</v>
      </c>
      <c r="AU25" s="74"/>
      <c r="AV25" s="119">
        <f t="shared" si="24"/>
        <v>12</v>
      </c>
      <c r="AW25" s="121"/>
      <c r="AX25" s="70">
        <v>0.58472222222222225</v>
      </c>
      <c r="AY25" s="72">
        <f t="shared" si="25"/>
        <v>0</v>
      </c>
      <c r="AZ25" s="68">
        <f t="shared" si="26"/>
        <v>478</v>
      </c>
      <c r="BA25" s="356">
        <v>700</v>
      </c>
      <c r="BB25" s="59">
        <f t="shared" si="27"/>
        <v>0.59282407407407411</v>
      </c>
      <c r="BC25" s="75">
        <v>0.6056597222222222</v>
      </c>
      <c r="BD25" s="73">
        <f t="shared" si="28"/>
        <v>1109</v>
      </c>
      <c r="BE25" s="74"/>
      <c r="BF25" s="119">
        <f>IF(NOT(OR(ISBLANK(AX25),ISBLANK(BC25))),IF(BD25&lt;0,IF(-BD25&lt;=BA25-AZ25,0,ШтрафОпережениеНаРУ),BD25*ШтрафОтставаниеНаРУ)+IF(ISBLANK(BE25),0,ШтрафФальстартНаДС),ШтрафПропускДС)</f>
        <v>1109</v>
      </c>
      <c r="BG25" s="121"/>
      <c r="BH25" s="70"/>
      <c r="BI25" s="72">
        <f t="shared" si="30"/>
        <v>0</v>
      </c>
      <c r="BJ25" s="68">
        <f t="shared" si="31"/>
        <v>1393</v>
      </c>
      <c r="BK25" s="59">
        <f t="shared" si="32"/>
        <v>1.6122685185185184E-2</v>
      </c>
      <c r="BL25" s="75"/>
      <c r="BM25" s="73">
        <f t="shared" si="33"/>
        <v>-1393</v>
      </c>
      <c r="BN25" s="74"/>
      <c r="BO25" s="119">
        <f t="shared" si="46"/>
        <v>1800</v>
      </c>
      <c r="BP25" s="121"/>
      <c r="BQ25" s="271">
        <v>0</v>
      </c>
      <c r="BR25" s="303">
        <f t="shared" si="35"/>
        <v>0</v>
      </c>
      <c r="BS25" s="304">
        <v>0</v>
      </c>
      <c r="BT25" s="175"/>
      <c r="BU25" s="305">
        <f t="shared" si="36"/>
        <v>0</v>
      </c>
      <c r="BV25" s="74"/>
      <c r="BW25" s="74"/>
      <c r="BX25" s="74"/>
      <c r="BY25" s="74"/>
      <c r="BZ25" s="379">
        <v>1800</v>
      </c>
      <c r="CA25" s="65" t="s">
        <v>522</v>
      </c>
      <c r="CB25" s="66" t="s">
        <v>519</v>
      </c>
      <c r="CC25" s="209">
        <v>3</v>
      </c>
      <c r="CD25" s="124">
        <f t="shared" si="38"/>
        <v>360</v>
      </c>
      <c r="CE25" s="210">
        <v>2</v>
      </c>
      <c r="CF25" s="124">
        <f t="shared" si="39"/>
        <v>2000</v>
      </c>
      <c r="CI25" s="67" t="s">
        <v>237</v>
      </c>
      <c r="CJ25" s="118">
        <f>IF(NOT(ISBLANK(CI25)),0,ШтрафПропускКП)</f>
        <v>0</v>
      </c>
      <c r="CK25" s="76" t="e">
        <f>ROUNDDOWN(ВКВ1Расстояние/КВ3Скорость*60,0)</f>
        <v>#NAME?</v>
      </c>
      <c r="CL25" s="68" t="e">
        <f>ROUNDUP(CK25/10,0)</f>
        <v>#NAME?</v>
      </c>
      <c r="CM25" s="69" t="e">
        <f>IF(NOT(ISBLANK(R25)),R25+CK25/1440,Q25+CK25/1440)</f>
        <v>#NAME?</v>
      </c>
      <c r="CN25" s="77">
        <v>0.4916666666666667</v>
      </c>
      <c r="CO25" s="74"/>
      <c r="CP25" s="68" t="e">
        <f>ROUND((CN25-CM25)*1440,0)</f>
        <v>#NAME?</v>
      </c>
      <c r="CQ25" s="118" t="e">
        <f>IF(NOT(ISBLANK(CN25)),IF(CP25&gt;=0,0,IF(-CP25&lt;=CL25,0,-(CP25+CL25)*ШтрафОпережениеНаВКВ))+IF(NOT(ISBLANK(CO25)),ШтрафОтсутсвиеОтметкиНаВКВ,0),ШтрафПропускКВ)</f>
        <v>#NAME?</v>
      </c>
    </row>
    <row r="26" spans="1:95" x14ac:dyDescent="0.25">
      <c r="R26" s="12">
        <f>COUNT(R5:R25)</f>
        <v>21</v>
      </c>
      <c r="X26" s="12">
        <f>COUNT(X5:X25)</f>
        <v>19</v>
      </c>
      <c r="AD26" s="12">
        <f>COUNT(AD5:AD25)</f>
        <v>17</v>
      </c>
      <c r="AK26" s="12">
        <f>COUNT(AK5:AK25)</f>
        <v>21</v>
      </c>
      <c r="AO26" s="12">
        <f>COUNT(AO5:AO25)</f>
        <v>21</v>
      </c>
      <c r="AX26" s="12">
        <f>COUNT(AX5:AX25)</f>
        <v>21</v>
      </c>
      <c r="BC26" s="12">
        <f>COUNT(BC5:BC25)</f>
        <v>21</v>
      </c>
      <c r="BH26" s="12">
        <f>COUNT(BH5:BH25)</f>
        <v>17</v>
      </c>
      <c r="BL26" s="12">
        <f>COUNT(BL5:BL25)</f>
        <v>18</v>
      </c>
      <c r="CC26" s="12">
        <f>COUNT(CC5:CC25)</f>
        <v>21</v>
      </c>
      <c r="CE26" s="12">
        <f>COUNT(CE5:CE25)</f>
        <v>2</v>
      </c>
    </row>
  </sheetData>
  <sortState ref="A5:CQ25">
    <sortCondition ref="H6:H34"/>
    <sortCondition ref="J6:J34"/>
  </sortState>
  <mergeCells count="20">
    <mergeCell ref="CK3:CQ3"/>
    <mergeCell ref="O3:P3"/>
    <mergeCell ref="K3:L3"/>
    <mergeCell ref="AW3:BF3"/>
    <mergeCell ref="BG3:BO3"/>
    <mergeCell ref="AI3:AM3"/>
    <mergeCell ref="Q3:T3"/>
    <mergeCell ref="AC3:AF3"/>
    <mergeCell ref="AA3:AB3"/>
    <mergeCell ref="CE3:CF3"/>
    <mergeCell ref="CI3:CJ3"/>
    <mergeCell ref="AG3:AH3"/>
    <mergeCell ref="BP3:BZ3"/>
    <mergeCell ref="CA3:CD3"/>
    <mergeCell ref="M3:N3"/>
    <mergeCell ref="U3:V3"/>
    <mergeCell ref="W3:Z3"/>
    <mergeCell ref="AN3:AV3"/>
    <mergeCell ref="D1:H1"/>
    <mergeCell ref="D3:J3"/>
  </mergeCells>
  <pageMargins left="0.39370078740157483" right="0.39370078740157483" top="0.39370078740157483" bottom="0.39370078740157483" header="0" footer="0"/>
  <pageSetup paperSize="9" orientation="landscape" r:id="rId1"/>
  <colBreaks count="5" manualBreakCount="5">
    <brk id="12" max="24" man="1"/>
    <brk id="28" max="24" man="1"/>
    <brk id="39" max="24" man="1"/>
    <brk id="58" max="24" man="1"/>
    <brk id="78" max="24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28"/>
  <sheetViews>
    <sheetView view="pageBreakPreview" zoomScaleSheetLayoutView="100" workbookViewId="0">
      <selection activeCell="AA7" sqref="AA7"/>
    </sheetView>
  </sheetViews>
  <sheetFormatPr defaultColWidth="9.140625" defaultRowHeight="15" x14ac:dyDescent="0.25"/>
  <cols>
    <col min="1" max="1" width="5.7109375" style="14" customWidth="1"/>
    <col min="2" max="2" width="10.7109375" style="14" customWidth="1"/>
    <col min="3" max="3" width="15.7109375" style="14" customWidth="1"/>
    <col min="4" max="4" width="0.85546875" style="14" customWidth="1"/>
    <col min="5" max="6" width="3.28515625" style="14" customWidth="1"/>
    <col min="7" max="7" width="0.85546875" style="14" customWidth="1"/>
    <col min="8" max="8" width="15.7109375" style="14" customWidth="1"/>
    <col min="9" max="9" width="0.85546875" style="14" customWidth="1"/>
    <col min="10" max="11" width="3.28515625" style="14" customWidth="1"/>
    <col min="12" max="12" width="0.85546875" style="14" customWidth="1"/>
    <col min="13" max="25" width="5.7109375" style="14" customWidth="1"/>
    <col min="26" max="16384" width="9.140625" style="14"/>
  </cols>
  <sheetData>
    <row r="1" spans="1:28" ht="21" customHeight="1" x14ac:dyDescent="0.25">
      <c r="A1" s="566" t="str">
        <f>НазваниеПолное</f>
        <v>Ралли "Skoda Rally Weekend - 2017"</v>
      </c>
      <c r="B1" s="567"/>
      <c r="C1" s="567"/>
      <c r="D1" s="567"/>
      <c r="E1" s="567"/>
      <c r="F1" s="567"/>
      <c r="G1" s="567"/>
      <c r="H1" s="567"/>
      <c r="I1" s="567"/>
      <c r="J1" s="567"/>
      <c r="K1" s="567"/>
      <c r="L1" s="567"/>
      <c r="M1" s="567"/>
      <c r="N1" s="567"/>
      <c r="O1" s="568"/>
      <c r="P1" s="193"/>
      <c r="Q1" s="569" t="str">
        <f ca="1">INDIRECT(ADDRESS($AB$1,1,,,"Общее"))</f>
        <v>ДС-4 СЛ</v>
      </c>
      <c r="R1" s="569"/>
      <c r="S1" s="569"/>
      <c r="T1" s="569"/>
      <c r="U1" s="569"/>
      <c r="V1" s="569"/>
      <c r="W1" s="569"/>
      <c r="X1" s="569"/>
      <c r="Y1" s="569"/>
      <c r="AA1" s="14" t="s">
        <v>153</v>
      </c>
      <c r="AB1" s="14">
        <v>25</v>
      </c>
    </row>
    <row r="2" spans="1:28" ht="21" customHeight="1" x14ac:dyDescent="0.25">
      <c r="A2" s="570" t="s">
        <v>11</v>
      </c>
      <c r="B2" s="571"/>
      <c r="C2" s="571"/>
      <c r="D2" s="571"/>
      <c r="E2" s="571"/>
      <c r="F2" s="571"/>
      <c r="G2" s="571"/>
      <c r="H2" s="571"/>
      <c r="I2" s="571"/>
      <c r="J2" s="571"/>
      <c r="K2" s="571"/>
      <c r="L2" s="571"/>
      <c r="M2" s="571"/>
      <c r="N2" s="571"/>
      <c r="O2" s="572"/>
      <c r="P2" s="192"/>
      <c r="Q2" s="569"/>
      <c r="R2" s="569"/>
      <c r="S2" s="569"/>
      <c r="T2" s="569"/>
      <c r="U2" s="569"/>
      <c r="V2" s="569"/>
      <c r="W2" s="569"/>
      <c r="X2" s="569"/>
      <c r="Y2" s="569"/>
    </row>
    <row r="3" spans="1:28" ht="2.1" customHeight="1" x14ac:dyDescent="0.25">
      <c r="A3" s="18"/>
      <c r="B3" s="18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2"/>
      <c r="N3" s="182"/>
      <c r="O3" s="182"/>
      <c r="P3" s="182"/>
    </row>
    <row r="4" spans="1:28" ht="20.100000000000001" customHeight="1" x14ac:dyDescent="0.25">
      <c r="A4" s="548" t="s">
        <v>12</v>
      </c>
      <c r="B4" s="548"/>
      <c r="C4" s="573" t="str">
        <f ca="1">INDIRECT(ADDRESS($AB$1,12,,,"Общее"))</f>
        <v>Борисов+</v>
      </c>
      <c r="D4" s="573"/>
      <c r="E4" s="573"/>
      <c r="F4" s="573"/>
      <c r="G4" s="573"/>
      <c r="H4" s="573"/>
      <c r="I4" s="573"/>
      <c r="J4" s="573"/>
      <c r="K4" s="573"/>
      <c r="M4" s="548" t="s">
        <v>268</v>
      </c>
      <c r="N4" s="548"/>
      <c r="O4" s="548"/>
      <c r="P4" s="548"/>
      <c r="Q4" s="548" t="s">
        <v>136</v>
      </c>
      <c r="R4" s="548"/>
      <c r="S4" s="554">
        <f ca="1">INDIRECT(ADDRESS($AB$1,9,,,"Общее"))</f>
        <v>0.60278238626477421</v>
      </c>
      <c r="T4" s="554"/>
      <c r="U4" s="548" t="s">
        <v>135</v>
      </c>
      <c r="V4" s="548"/>
      <c r="W4" s="552" t="s">
        <v>164</v>
      </c>
      <c r="X4" s="552"/>
      <c r="Y4" s="552"/>
    </row>
    <row r="5" spans="1:28" ht="20.100000000000001" customHeight="1" x14ac:dyDescent="0.25">
      <c r="A5" s="548" t="s">
        <v>13</v>
      </c>
      <c r="B5" s="548"/>
      <c r="C5" s="548"/>
      <c r="D5" s="548"/>
      <c r="E5" s="548"/>
      <c r="F5" s="548"/>
      <c r="G5" s="548"/>
      <c r="H5" s="548"/>
      <c r="I5" s="548"/>
      <c r="J5" s="548"/>
      <c r="K5" s="548"/>
      <c r="M5" s="548" t="s">
        <v>269</v>
      </c>
      <c r="N5" s="548"/>
      <c r="O5" s="548"/>
      <c r="P5" s="548"/>
      <c r="Q5" s="548" t="s">
        <v>136</v>
      </c>
      <c r="R5" s="548"/>
      <c r="S5" s="554">
        <f ca="1">INDIRECT(ADDRESS($AB$1,11,,,"Общее"))</f>
        <v>0.65833794182032968</v>
      </c>
      <c r="T5" s="554"/>
      <c r="U5" s="548" t="s">
        <v>135</v>
      </c>
      <c r="V5" s="548"/>
      <c r="W5" s="552" t="s">
        <v>164</v>
      </c>
      <c r="X5" s="552"/>
      <c r="Y5" s="552"/>
    </row>
    <row r="6" spans="1:28" ht="2.1" customHeight="1" x14ac:dyDescent="0.25">
      <c r="A6" s="180"/>
      <c r="B6" s="180"/>
      <c r="C6" s="60"/>
      <c r="D6" s="60"/>
      <c r="E6" s="180"/>
      <c r="F6" s="180"/>
      <c r="G6" s="180"/>
      <c r="H6" s="60"/>
      <c r="I6" s="60"/>
      <c r="J6" s="180"/>
      <c r="K6" s="180"/>
      <c r="L6" s="180"/>
      <c r="M6" s="179"/>
      <c r="N6" s="179"/>
      <c r="O6" s="179"/>
      <c r="P6" s="179"/>
    </row>
    <row r="7" spans="1:28" ht="20.100000000000001" customHeight="1" x14ac:dyDescent="0.25">
      <c r="A7" s="553"/>
      <c r="B7" s="548" t="s">
        <v>0</v>
      </c>
      <c r="C7" s="587" t="s">
        <v>62</v>
      </c>
      <c r="D7" s="588"/>
      <c r="E7" s="588"/>
      <c r="F7" s="588"/>
      <c r="G7" s="589"/>
      <c r="H7" s="587" t="s">
        <v>37</v>
      </c>
      <c r="I7" s="588"/>
      <c r="J7" s="588"/>
      <c r="K7" s="588"/>
      <c r="L7" s="589"/>
      <c r="M7" s="548" t="s">
        <v>273</v>
      </c>
      <c r="N7" s="548"/>
      <c r="O7" s="548"/>
      <c r="P7" s="548"/>
      <c r="Q7" s="590" t="s">
        <v>80</v>
      </c>
      <c r="R7" s="591"/>
      <c r="S7" s="591"/>
      <c r="T7" s="591"/>
      <c r="U7" s="591"/>
      <c r="V7" s="591"/>
      <c r="W7" s="591"/>
      <c r="X7" s="591"/>
      <c r="Y7" s="592"/>
      <c r="AA7" s="14" t="s">
        <v>190</v>
      </c>
    </row>
    <row r="8" spans="1:28" ht="20.100000000000001" customHeight="1" x14ac:dyDescent="0.25">
      <c r="A8" s="553"/>
      <c r="B8" s="548"/>
      <c r="C8" s="587" t="s">
        <v>270</v>
      </c>
      <c r="D8" s="588"/>
      <c r="E8" s="588"/>
      <c r="F8" s="588"/>
      <c r="G8" s="589"/>
      <c r="H8" s="587" t="s">
        <v>270</v>
      </c>
      <c r="I8" s="588"/>
      <c r="J8" s="588"/>
      <c r="K8" s="588"/>
      <c r="L8" s="589"/>
      <c r="M8" s="548" t="s">
        <v>272</v>
      </c>
      <c r="N8" s="548"/>
      <c r="O8" s="548"/>
      <c r="P8" s="548"/>
      <c r="Q8" s="593"/>
      <c r="R8" s="594"/>
      <c r="S8" s="594"/>
      <c r="T8" s="594"/>
      <c r="U8" s="594"/>
      <c r="V8" s="594"/>
      <c r="W8" s="594"/>
      <c r="X8" s="594"/>
      <c r="Y8" s="595"/>
    </row>
    <row r="9" spans="1:28" ht="9.9499999999999993" customHeight="1" x14ac:dyDescent="0.25">
      <c r="A9" s="549">
        <v>1</v>
      </c>
      <c r="B9" s="548"/>
      <c r="C9" s="188"/>
      <c r="D9" s="188"/>
      <c r="E9" s="188"/>
      <c r="F9" s="188"/>
      <c r="G9" s="189"/>
      <c r="H9" s="188"/>
      <c r="I9" s="188"/>
      <c r="J9" s="188"/>
      <c r="K9" s="188"/>
      <c r="L9" s="189"/>
      <c r="M9" s="185"/>
      <c r="N9" s="186"/>
      <c r="O9" s="186"/>
      <c r="P9" s="186"/>
      <c r="Q9" s="590"/>
      <c r="R9" s="591"/>
      <c r="S9" s="591"/>
      <c r="T9" s="591"/>
      <c r="U9" s="591"/>
      <c r="V9" s="591"/>
      <c r="W9" s="591"/>
      <c r="X9" s="591"/>
      <c r="Y9" s="592"/>
    </row>
    <row r="10" spans="1:28" s="27" customFormat="1" ht="20.100000000000001" customHeight="1" x14ac:dyDescent="0.25">
      <c r="A10" s="550"/>
      <c r="B10" s="548"/>
      <c r="C10" s="585" t="s">
        <v>165</v>
      </c>
      <c r="D10" s="586"/>
      <c r="E10" s="195"/>
      <c r="F10" s="195"/>
      <c r="G10" s="191"/>
      <c r="H10" s="585" t="s">
        <v>165</v>
      </c>
      <c r="I10" s="586"/>
      <c r="J10" s="195"/>
      <c r="K10" s="195"/>
      <c r="L10" s="191"/>
      <c r="M10" s="597" t="s">
        <v>271</v>
      </c>
      <c r="N10" s="598"/>
      <c r="O10" s="598"/>
      <c r="P10" s="599"/>
      <c r="Q10" s="597"/>
      <c r="R10" s="598"/>
      <c r="S10" s="598"/>
      <c r="T10" s="598"/>
      <c r="U10" s="598"/>
      <c r="V10" s="598"/>
      <c r="W10" s="598"/>
      <c r="X10" s="598"/>
      <c r="Y10" s="599"/>
    </row>
    <row r="11" spans="1:28" ht="9.9499999999999993" customHeight="1" x14ac:dyDescent="0.25">
      <c r="A11" s="551"/>
      <c r="B11" s="548"/>
      <c r="C11" s="183"/>
      <c r="D11" s="183"/>
      <c r="E11" s="183"/>
      <c r="F11" s="183"/>
      <c r="G11" s="190"/>
      <c r="H11" s="183"/>
      <c r="I11" s="183"/>
      <c r="J11" s="183"/>
      <c r="K11" s="183"/>
      <c r="L11" s="190"/>
      <c r="M11" s="187"/>
      <c r="N11" s="184"/>
      <c r="O11" s="184"/>
      <c r="P11" s="184"/>
      <c r="Q11" s="593"/>
      <c r="R11" s="594"/>
      <c r="S11" s="594"/>
      <c r="T11" s="594"/>
      <c r="U11" s="594"/>
      <c r="V11" s="594"/>
      <c r="W11" s="594"/>
      <c r="X11" s="594"/>
      <c r="Y11" s="595"/>
    </row>
    <row r="12" spans="1:28" ht="9.9499999999999993" customHeight="1" x14ac:dyDescent="0.25">
      <c r="A12" s="549">
        <f>1+A9</f>
        <v>2</v>
      </c>
      <c r="B12" s="548"/>
      <c r="C12" s="188"/>
      <c r="D12" s="188"/>
      <c r="E12" s="188"/>
      <c r="F12" s="188"/>
      <c r="G12" s="189"/>
      <c r="H12" s="188"/>
      <c r="I12" s="188"/>
      <c r="J12" s="188"/>
      <c r="K12" s="188"/>
      <c r="L12" s="189"/>
      <c r="M12" s="185"/>
      <c r="N12" s="186"/>
      <c r="O12" s="186"/>
      <c r="P12" s="186"/>
      <c r="Q12" s="590"/>
      <c r="R12" s="591"/>
      <c r="S12" s="591"/>
      <c r="T12" s="591"/>
      <c r="U12" s="591"/>
      <c r="V12" s="591"/>
      <c r="W12" s="591"/>
      <c r="X12" s="591"/>
      <c r="Y12" s="592"/>
    </row>
    <row r="13" spans="1:28" s="27" customFormat="1" ht="20.100000000000001" customHeight="1" x14ac:dyDescent="0.25">
      <c r="A13" s="550"/>
      <c r="B13" s="548"/>
      <c r="C13" s="585" t="s">
        <v>165</v>
      </c>
      <c r="D13" s="586"/>
      <c r="E13" s="195"/>
      <c r="F13" s="195"/>
      <c r="G13" s="191"/>
      <c r="H13" s="585" t="s">
        <v>165</v>
      </c>
      <c r="I13" s="586"/>
      <c r="J13" s="195"/>
      <c r="K13" s="195"/>
      <c r="L13" s="191"/>
      <c r="M13" s="597" t="s">
        <v>271</v>
      </c>
      <c r="N13" s="598"/>
      <c r="O13" s="598"/>
      <c r="P13" s="599"/>
      <c r="Q13" s="597"/>
      <c r="R13" s="598"/>
      <c r="S13" s="598"/>
      <c r="T13" s="598"/>
      <c r="U13" s="598"/>
      <c r="V13" s="598"/>
      <c r="W13" s="598"/>
      <c r="X13" s="598"/>
      <c r="Y13" s="599"/>
    </row>
    <row r="14" spans="1:28" ht="9.9499999999999993" customHeight="1" x14ac:dyDescent="0.25">
      <c r="A14" s="551"/>
      <c r="B14" s="548"/>
      <c r="C14" s="183"/>
      <c r="D14" s="183"/>
      <c r="E14" s="183"/>
      <c r="F14" s="183"/>
      <c r="G14" s="190"/>
      <c r="H14" s="183"/>
      <c r="I14" s="183"/>
      <c r="J14" s="183"/>
      <c r="K14" s="183"/>
      <c r="L14" s="190"/>
      <c r="M14" s="187"/>
      <c r="N14" s="184"/>
      <c r="O14" s="184"/>
      <c r="P14" s="184"/>
      <c r="Q14" s="593"/>
      <c r="R14" s="594"/>
      <c r="S14" s="594"/>
      <c r="T14" s="594"/>
      <c r="U14" s="594"/>
      <c r="V14" s="594"/>
      <c r="W14" s="594"/>
      <c r="X14" s="594"/>
      <c r="Y14" s="595"/>
    </row>
    <row r="15" spans="1:28" ht="9.9499999999999993" customHeight="1" x14ac:dyDescent="0.25">
      <c r="A15" s="549">
        <f>1+A12</f>
        <v>3</v>
      </c>
      <c r="B15" s="548"/>
      <c r="C15" s="188"/>
      <c r="D15" s="188"/>
      <c r="E15" s="188"/>
      <c r="F15" s="188"/>
      <c r="G15" s="189"/>
      <c r="H15" s="188"/>
      <c r="I15" s="188"/>
      <c r="J15" s="188"/>
      <c r="K15" s="188"/>
      <c r="L15" s="189"/>
      <c r="M15" s="185"/>
      <c r="N15" s="186"/>
      <c r="O15" s="186"/>
      <c r="P15" s="186"/>
      <c r="Q15" s="590"/>
      <c r="R15" s="591"/>
      <c r="S15" s="591"/>
      <c r="T15" s="591"/>
      <c r="U15" s="591"/>
      <c r="V15" s="591"/>
      <c r="W15" s="591"/>
      <c r="X15" s="591"/>
      <c r="Y15" s="592"/>
    </row>
    <row r="16" spans="1:28" s="27" customFormat="1" ht="20.100000000000001" customHeight="1" x14ac:dyDescent="0.25">
      <c r="A16" s="550"/>
      <c r="B16" s="548"/>
      <c r="C16" s="585" t="s">
        <v>165</v>
      </c>
      <c r="D16" s="586"/>
      <c r="E16" s="195"/>
      <c r="F16" s="195"/>
      <c r="G16" s="191"/>
      <c r="H16" s="585" t="s">
        <v>165</v>
      </c>
      <c r="I16" s="586"/>
      <c r="J16" s="195"/>
      <c r="K16" s="195"/>
      <c r="L16" s="191"/>
      <c r="M16" s="597" t="s">
        <v>271</v>
      </c>
      <c r="N16" s="598"/>
      <c r="O16" s="598"/>
      <c r="P16" s="599"/>
      <c r="Q16" s="597"/>
      <c r="R16" s="598"/>
      <c r="S16" s="598"/>
      <c r="T16" s="598"/>
      <c r="U16" s="598"/>
      <c r="V16" s="598"/>
      <c r="W16" s="598"/>
      <c r="X16" s="598"/>
      <c r="Y16" s="599"/>
    </row>
    <row r="17" spans="1:25" ht="9.9499999999999993" customHeight="1" x14ac:dyDescent="0.25">
      <c r="A17" s="551"/>
      <c r="B17" s="548"/>
      <c r="C17" s="183"/>
      <c r="D17" s="183"/>
      <c r="E17" s="183"/>
      <c r="F17" s="183"/>
      <c r="G17" s="190"/>
      <c r="H17" s="183"/>
      <c r="I17" s="183"/>
      <c r="J17" s="183"/>
      <c r="K17" s="183"/>
      <c r="L17" s="190"/>
      <c r="M17" s="187"/>
      <c r="N17" s="184"/>
      <c r="O17" s="184"/>
      <c r="P17" s="184"/>
      <c r="Q17" s="593"/>
      <c r="R17" s="594"/>
      <c r="S17" s="594"/>
      <c r="T17" s="594"/>
      <c r="U17" s="594"/>
      <c r="V17" s="594"/>
      <c r="W17" s="594"/>
      <c r="X17" s="594"/>
      <c r="Y17" s="595"/>
    </row>
    <row r="18" spans="1:25" ht="9.9499999999999993" customHeight="1" x14ac:dyDescent="0.25">
      <c r="A18" s="549">
        <f t="shared" ref="A18" si="0">1+A15</f>
        <v>4</v>
      </c>
      <c r="B18" s="548"/>
      <c r="C18" s="188"/>
      <c r="D18" s="188"/>
      <c r="E18" s="188"/>
      <c r="F18" s="188"/>
      <c r="G18" s="189"/>
      <c r="H18" s="188"/>
      <c r="I18" s="188"/>
      <c r="J18" s="188"/>
      <c r="K18" s="188"/>
      <c r="L18" s="189"/>
      <c r="M18" s="185"/>
      <c r="N18" s="186"/>
      <c r="O18" s="186"/>
      <c r="P18" s="186"/>
      <c r="Q18" s="590"/>
      <c r="R18" s="591"/>
      <c r="S18" s="591"/>
      <c r="T18" s="591"/>
      <c r="U18" s="591"/>
      <c r="V18" s="591"/>
      <c r="W18" s="591"/>
      <c r="X18" s="591"/>
      <c r="Y18" s="592"/>
    </row>
    <row r="19" spans="1:25" s="27" customFormat="1" ht="20.100000000000001" customHeight="1" x14ac:dyDescent="0.25">
      <c r="A19" s="550"/>
      <c r="B19" s="548"/>
      <c r="C19" s="585" t="s">
        <v>165</v>
      </c>
      <c r="D19" s="586"/>
      <c r="E19" s="195"/>
      <c r="F19" s="195"/>
      <c r="G19" s="191"/>
      <c r="H19" s="585" t="s">
        <v>165</v>
      </c>
      <c r="I19" s="586"/>
      <c r="J19" s="195"/>
      <c r="K19" s="195"/>
      <c r="L19" s="191"/>
      <c r="M19" s="597" t="s">
        <v>271</v>
      </c>
      <c r="N19" s="598"/>
      <c r="O19" s="598"/>
      <c r="P19" s="599"/>
      <c r="Q19" s="597"/>
      <c r="R19" s="598"/>
      <c r="S19" s="598"/>
      <c r="T19" s="598"/>
      <c r="U19" s="598"/>
      <c r="V19" s="598"/>
      <c r="W19" s="598"/>
      <c r="X19" s="598"/>
      <c r="Y19" s="599"/>
    </row>
    <row r="20" spans="1:25" ht="9.9499999999999993" customHeight="1" x14ac:dyDescent="0.25">
      <c r="A20" s="551"/>
      <c r="B20" s="548"/>
      <c r="C20" s="183"/>
      <c r="D20" s="183"/>
      <c r="E20" s="183"/>
      <c r="F20" s="183"/>
      <c r="G20" s="190"/>
      <c r="H20" s="183"/>
      <c r="I20" s="183"/>
      <c r="J20" s="183"/>
      <c r="K20" s="183"/>
      <c r="L20" s="190"/>
      <c r="M20" s="187"/>
      <c r="N20" s="184"/>
      <c r="O20" s="184"/>
      <c r="P20" s="184"/>
      <c r="Q20" s="593"/>
      <c r="R20" s="594"/>
      <c r="S20" s="594"/>
      <c r="T20" s="594"/>
      <c r="U20" s="594"/>
      <c r="V20" s="594"/>
      <c r="W20" s="594"/>
      <c r="X20" s="594"/>
      <c r="Y20" s="595"/>
    </row>
    <row r="21" spans="1:25" ht="9.9499999999999993" customHeight="1" x14ac:dyDescent="0.25">
      <c r="A21" s="549">
        <f t="shared" ref="A21" si="1">1+A18</f>
        <v>5</v>
      </c>
      <c r="B21" s="548"/>
      <c r="C21" s="188"/>
      <c r="D21" s="188"/>
      <c r="E21" s="188"/>
      <c r="F21" s="188"/>
      <c r="G21" s="189"/>
      <c r="H21" s="188"/>
      <c r="I21" s="188"/>
      <c r="J21" s="188"/>
      <c r="K21" s="188"/>
      <c r="L21" s="189"/>
      <c r="M21" s="185"/>
      <c r="N21" s="186"/>
      <c r="O21" s="186"/>
      <c r="P21" s="186"/>
      <c r="Q21" s="590"/>
      <c r="R21" s="591"/>
      <c r="S21" s="591"/>
      <c r="T21" s="591"/>
      <c r="U21" s="591"/>
      <c r="V21" s="591"/>
      <c r="W21" s="591"/>
      <c r="X21" s="591"/>
      <c r="Y21" s="592"/>
    </row>
    <row r="22" spans="1:25" s="27" customFormat="1" ht="20.100000000000001" customHeight="1" x14ac:dyDescent="0.25">
      <c r="A22" s="550"/>
      <c r="B22" s="548"/>
      <c r="C22" s="585" t="s">
        <v>165</v>
      </c>
      <c r="D22" s="586"/>
      <c r="E22" s="195"/>
      <c r="F22" s="195"/>
      <c r="G22" s="191"/>
      <c r="H22" s="585" t="s">
        <v>165</v>
      </c>
      <c r="I22" s="586"/>
      <c r="J22" s="195"/>
      <c r="K22" s="195"/>
      <c r="L22" s="191"/>
      <c r="M22" s="597" t="s">
        <v>271</v>
      </c>
      <c r="N22" s="598"/>
      <c r="O22" s="598"/>
      <c r="P22" s="599"/>
      <c r="Q22" s="597"/>
      <c r="R22" s="598"/>
      <c r="S22" s="598"/>
      <c r="T22" s="598"/>
      <c r="U22" s="598"/>
      <c r="V22" s="598"/>
      <c r="W22" s="598"/>
      <c r="X22" s="598"/>
      <c r="Y22" s="599"/>
    </row>
    <row r="23" spans="1:25" ht="9.9499999999999993" customHeight="1" x14ac:dyDescent="0.25">
      <c r="A23" s="551"/>
      <c r="B23" s="548"/>
      <c r="C23" s="183"/>
      <c r="D23" s="183"/>
      <c r="E23" s="183"/>
      <c r="F23" s="183"/>
      <c r="G23" s="190"/>
      <c r="H23" s="183"/>
      <c r="I23" s="183"/>
      <c r="J23" s="183"/>
      <c r="K23" s="183"/>
      <c r="L23" s="190"/>
      <c r="M23" s="187"/>
      <c r="N23" s="184"/>
      <c r="O23" s="184"/>
      <c r="P23" s="184"/>
      <c r="Q23" s="593"/>
      <c r="R23" s="594"/>
      <c r="S23" s="594"/>
      <c r="T23" s="594"/>
      <c r="U23" s="594"/>
      <c r="V23" s="594"/>
      <c r="W23" s="594"/>
      <c r="X23" s="594"/>
      <c r="Y23" s="595"/>
    </row>
    <row r="24" spans="1:25" ht="9.9499999999999993" customHeight="1" x14ac:dyDescent="0.25">
      <c r="A24" s="549">
        <f t="shared" ref="A24" si="2">1+A21</f>
        <v>6</v>
      </c>
      <c r="B24" s="548"/>
      <c r="C24" s="188"/>
      <c r="D24" s="188"/>
      <c r="E24" s="188"/>
      <c r="F24" s="188"/>
      <c r="G24" s="189"/>
      <c r="H24" s="188"/>
      <c r="I24" s="188"/>
      <c r="J24" s="188"/>
      <c r="K24" s="188"/>
      <c r="L24" s="189"/>
      <c r="M24" s="185"/>
      <c r="N24" s="186"/>
      <c r="O24" s="186"/>
      <c r="P24" s="186"/>
      <c r="Q24" s="590"/>
      <c r="R24" s="591"/>
      <c r="S24" s="591"/>
      <c r="T24" s="591"/>
      <c r="U24" s="591"/>
      <c r="V24" s="591"/>
      <c r="W24" s="591"/>
      <c r="X24" s="591"/>
      <c r="Y24" s="592"/>
    </row>
    <row r="25" spans="1:25" s="27" customFormat="1" ht="20.100000000000001" customHeight="1" x14ac:dyDescent="0.25">
      <c r="A25" s="550"/>
      <c r="B25" s="548"/>
      <c r="C25" s="585" t="s">
        <v>165</v>
      </c>
      <c r="D25" s="586"/>
      <c r="E25" s="195"/>
      <c r="F25" s="195"/>
      <c r="G25" s="191"/>
      <c r="H25" s="585" t="s">
        <v>165</v>
      </c>
      <c r="I25" s="586"/>
      <c r="J25" s="195"/>
      <c r="K25" s="195"/>
      <c r="L25" s="191"/>
      <c r="M25" s="597" t="s">
        <v>271</v>
      </c>
      <c r="N25" s="598"/>
      <c r="O25" s="598"/>
      <c r="P25" s="599"/>
      <c r="Q25" s="597"/>
      <c r="R25" s="598"/>
      <c r="S25" s="598"/>
      <c r="T25" s="598"/>
      <c r="U25" s="598"/>
      <c r="V25" s="598"/>
      <c r="W25" s="598"/>
      <c r="X25" s="598"/>
      <c r="Y25" s="599"/>
    </row>
    <row r="26" spans="1:25" ht="9.9499999999999993" customHeight="1" x14ac:dyDescent="0.25">
      <c r="A26" s="551"/>
      <c r="B26" s="548"/>
      <c r="C26" s="183"/>
      <c r="D26" s="183"/>
      <c r="E26" s="183"/>
      <c r="F26" s="183"/>
      <c r="G26" s="190"/>
      <c r="H26" s="183"/>
      <c r="I26" s="183"/>
      <c r="J26" s="183"/>
      <c r="K26" s="183"/>
      <c r="L26" s="190"/>
      <c r="M26" s="187"/>
      <c r="N26" s="184"/>
      <c r="O26" s="184"/>
      <c r="P26" s="184"/>
      <c r="Q26" s="593"/>
      <c r="R26" s="594"/>
      <c r="S26" s="594"/>
      <c r="T26" s="594"/>
      <c r="U26" s="594"/>
      <c r="V26" s="594"/>
      <c r="W26" s="594"/>
      <c r="X26" s="594"/>
      <c r="Y26" s="595"/>
    </row>
    <row r="27" spans="1:25" ht="9.9499999999999993" customHeight="1" x14ac:dyDescent="0.25">
      <c r="A27" s="549">
        <f t="shared" ref="A27" si="3">1+A24</f>
        <v>7</v>
      </c>
      <c r="B27" s="548"/>
      <c r="C27" s="188"/>
      <c r="D27" s="188"/>
      <c r="E27" s="188"/>
      <c r="F27" s="188"/>
      <c r="G27" s="189"/>
      <c r="H27" s="188"/>
      <c r="I27" s="188"/>
      <c r="J27" s="188"/>
      <c r="K27" s="188"/>
      <c r="L27" s="189"/>
      <c r="M27" s="185"/>
      <c r="N27" s="186"/>
      <c r="O27" s="186"/>
      <c r="P27" s="186"/>
      <c r="Q27" s="590"/>
      <c r="R27" s="591"/>
      <c r="S27" s="591"/>
      <c r="T27" s="591"/>
      <c r="U27" s="591"/>
      <c r="V27" s="591"/>
      <c r="W27" s="591"/>
      <c r="X27" s="591"/>
      <c r="Y27" s="592"/>
    </row>
    <row r="28" spans="1:25" s="27" customFormat="1" ht="20.100000000000001" customHeight="1" x14ac:dyDescent="0.25">
      <c r="A28" s="550"/>
      <c r="B28" s="548"/>
      <c r="C28" s="585" t="s">
        <v>165</v>
      </c>
      <c r="D28" s="586"/>
      <c r="E28" s="195"/>
      <c r="F28" s="195"/>
      <c r="G28" s="191"/>
      <c r="H28" s="585" t="s">
        <v>165</v>
      </c>
      <c r="I28" s="586"/>
      <c r="J28" s="195"/>
      <c r="K28" s="195"/>
      <c r="L28" s="191"/>
      <c r="M28" s="597" t="s">
        <v>271</v>
      </c>
      <c r="N28" s="598"/>
      <c r="O28" s="598"/>
      <c r="P28" s="599"/>
      <c r="Q28" s="597"/>
      <c r="R28" s="598"/>
      <c r="S28" s="598"/>
      <c r="T28" s="598"/>
      <c r="U28" s="598"/>
      <c r="V28" s="598"/>
      <c r="W28" s="598"/>
      <c r="X28" s="598"/>
      <c r="Y28" s="599"/>
    </row>
    <row r="29" spans="1:25" ht="9.9499999999999993" customHeight="1" x14ac:dyDescent="0.25">
      <c r="A29" s="551"/>
      <c r="B29" s="548"/>
      <c r="C29" s="183"/>
      <c r="D29" s="183"/>
      <c r="E29" s="183"/>
      <c r="F29" s="183"/>
      <c r="G29" s="190"/>
      <c r="H29" s="183"/>
      <c r="I29" s="183"/>
      <c r="J29" s="183"/>
      <c r="K29" s="183"/>
      <c r="L29" s="190"/>
      <c r="M29" s="187"/>
      <c r="N29" s="184"/>
      <c r="O29" s="184"/>
      <c r="P29" s="184"/>
      <c r="Q29" s="593"/>
      <c r="R29" s="594"/>
      <c r="S29" s="594"/>
      <c r="T29" s="594"/>
      <c r="U29" s="594"/>
      <c r="V29" s="594"/>
      <c r="W29" s="594"/>
      <c r="X29" s="594"/>
      <c r="Y29" s="595"/>
    </row>
    <row r="30" spans="1:25" ht="9.9499999999999993" customHeight="1" x14ac:dyDescent="0.25">
      <c r="A30" s="549">
        <f t="shared" ref="A30" si="4">1+A27</f>
        <v>8</v>
      </c>
      <c r="B30" s="548"/>
      <c r="C30" s="188"/>
      <c r="D30" s="188"/>
      <c r="E30" s="188"/>
      <c r="F30" s="188"/>
      <c r="G30" s="189"/>
      <c r="H30" s="188"/>
      <c r="I30" s="188"/>
      <c r="J30" s="188"/>
      <c r="K30" s="188"/>
      <c r="L30" s="189"/>
      <c r="M30" s="185"/>
      <c r="N30" s="186"/>
      <c r="O30" s="186"/>
      <c r="P30" s="186"/>
      <c r="Q30" s="590"/>
      <c r="R30" s="591"/>
      <c r="S30" s="591"/>
      <c r="T30" s="591"/>
      <c r="U30" s="591"/>
      <c r="V30" s="591"/>
      <c r="W30" s="591"/>
      <c r="X30" s="591"/>
      <c r="Y30" s="592"/>
    </row>
    <row r="31" spans="1:25" s="27" customFormat="1" ht="20.100000000000001" customHeight="1" x14ac:dyDescent="0.25">
      <c r="A31" s="550"/>
      <c r="B31" s="548"/>
      <c r="C31" s="585" t="s">
        <v>165</v>
      </c>
      <c r="D31" s="586"/>
      <c r="E31" s="195"/>
      <c r="F31" s="195"/>
      <c r="G31" s="191"/>
      <c r="H31" s="585" t="s">
        <v>165</v>
      </c>
      <c r="I31" s="586"/>
      <c r="J31" s="195"/>
      <c r="K31" s="195"/>
      <c r="L31" s="191"/>
      <c r="M31" s="597" t="s">
        <v>271</v>
      </c>
      <c r="N31" s="598"/>
      <c r="O31" s="598"/>
      <c r="P31" s="599"/>
      <c r="Q31" s="597"/>
      <c r="R31" s="598"/>
      <c r="S31" s="598"/>
      <c r="T31" s="598"/>
      <c r="U31" s="598"/>
      <c r="V31" s="598"/>
      <c r="W31" s="598"/>
      <c r="X31" s="598"/>
      <c r="Y31" s="599"/>
    </row>
    <row r="32" spans="1:25" ht="9.9499999999999993" customHeight="1" x14ac:dyDescent="0.25">
      <c r="A32" s="551"/>
      <c r="B32" s="548"/>
      <c r="C32" s="183"/>
      <c r="D32" s="183"/>
      <c r="E32" s="183"/>
      <c r="F32" s="183"/>
      <c r="G32" s="190"/>
      <c r="H32" s="183"/>
      <c r="I32" s="183"/>
      <c r="J32" s="183"/>
      <c r="K32" s="183"/>
      <c r="L32" s="190"/>
      <c r="M32" s="187"/>
      <c r="N32" s="184"/>
      <c r="O32" s="184"/>
      <c r="P32" s="184"/>
      <c r="Q32" s="593"/>
      <c r="R32" s="594"/>
      <c r="S32" s="594"/>
      <c r="T32" s="594"/>
      <c r="U32" s="594"/>
      <c r="V32" s="594"/>
      <c r="W32" s="594"/>
      <c r="X32" s="594"/>
      <c r="Y32" s="595"/>
    </row>
    <row r="33" spans="1:25" ht="9.9499999999999993" customHeight="1" x14ac:dyDescent="0.25">
      <c r="A33" s="549">
        <f t="shared" ref="A33" si="5">1+A30</f>
        <v>9</v>
      </c>
      <c r="B33" s="548"/>
      <c r="C33" s="188"/>
      <c r="D33" s="188"/>
      <c r="E33" s="188"/>
      <c r="F33" s="188"/>
      <c r="G33" s="189"/>
      <c r="H33" s="188"/>
      <c r="I33" s="188"/>
      <c r="J33" s="188"/>
      <c r="K33" s="188"/>
      <c r="L33" s="189"/>
      <c r="M33" s="185"/>
      <c r="N33" s="186"/>
      <c r="O33" s="186"/>
      <c r="P33" s="186"/>
      <c r="Q33" s="590"/>
      <c r="R33" s="591"/>
      <c r="S33" s="591"/>
      <c r="T33" s="591"/>
      <c r="U33" s="591"/>
      <c r="V33" s="591"/>
      <c r="W33" s="591"/>
      <c r="X33" s="591"/>
      <c r="Y33" s="592"/>
    </row>
    <row r="34" spans="1:25" s="27" customFormat="1" ht="20.100000000000001" customHeight="1" x14ac:dyDescent="0.25">
      <c r="A34" s="550"/>
      <c r="B34" s="548"/>
      <c r="C34" s="585" t="s">
        <v>165</v>
      </c>
      <c r="D34" s="586"/>
      <c r="E34" s="195"/>
      <c r="F34" s="195"/>
      <c r="G34" s="191"/>
      <c r="H34" s="585" t="s">
        <v>165</v>
      </c>
      <c r="I34" s="586"/>
      <c r="J34" s="195"/>
      <c r="K34" s="195"/>
      <c r="L34" s="191"/>
      <c r="M34" s="597" t="s">
        <v>271</v>
      </c>
      <c r="N34" s="598"/>
      <c r="O34" s="598"/>
      <c r="P34" s="599"/>
      <c r="Q34" s="597"/>
      <c r="R34" s="598"/>
      <c r="S34" s="598"/>
      <c r="T34" s="598"/>
      <c r="U34" s="598"/>
      <c r="V34" s="598"/>
      <c r="W34" s="598"/>
      <c r="X34" s="598"/>
      <c r="Y34" s="599"/>
    </row>
    <row r="35" spans="1:25" ht="9.75" customHeight="1" x14ac:dyDescent="0.25">
      <c r="A35" s="551"/>
      <c r="B35" s="548"/>
      <c r="C35" s="183"/>
      <c r="D35" s="183"/>
      <c r="E35" s="183"/>
      <c r="F35" s="183"/>
      <c r="G35" s="190"/>
      <c r="H35" s="183"/>
      <c r="I35" s="183"/>
      <c r="J35" s="183"/>
      <c r="K35" s="183"/>
      <c r="L35" s="190"/>
      <c r="M35" s="187"/>
      <c r="N35" s="184"/>
      <c r="O35" s="184"/>
      <c r="P35" s="184"/>
      <c r="Q35" s="593"/>
      <c r="R35" s="594"/>
      <c r="S35" s="594"/>
      <c r="T35" s="594"/>
      <c r="U35" s="594"/>
      <c r="V35" s="594"/>
      <c r="W35" s="594"/>
      <c r="X35" s="594"/>
      <c r="Y35" s="595"/>
    </row>
    <row r="36" spans="1:25" ht="9.9499999999999993" customHeight="1" x14ac:dyDescent="0.25">
      <c r="A36" s="549">
        <f t="shared" ref="A36" si="6">1+A33</f>
        <v>10</v>
      </c>
      <c r="B36" s="548"/>
      <c r="C36" s="188"/>
      <c r="D36" s="188"/>
      <c r="E36" s="188"/>
      <c r="F36" s="188"/>
      <c r="G36" s="189"/>
      <c r="H36" s="188"/>
      <c r="I36" s="188"/>
      <c r="J36" s="188"/>
      <c r="K36" s="188"/>
      <c r="L36" s="189"/>
      <c r="M36" s="185"/>
      <c r="N36" s="186"/>
      <c r="O36" s="186"/>
      <c r="P36" s="186"/>
      <c r="Q36" s="590"/>
      <c r="R36" s="591"/>
      <c r="S36" s="591"/>
      <c r="T36" s="591"/>
      <c r="U36" s="591"/>
      <c r="V36" s="591"/>
      <c r="W36" s="591"/>
      <c r="X36" s="591"/>
      <c r="Y36" s="592"/>
    </row>
    <row r="37" spans="1:25" s="27" customFormat="1" ht="20.100000000000001" customHeight="1" x14ac:dyDescent="0.25">
      <c r="A37" s="550"/>
      <c r="B37" s="548"/>
      <c r="C37" s="585" t="s">
        <v>165</v>
      </c>
      <c r="D37" s="586"/>
      <c r="E37" s="195"/>
      <c r="F37" s="195"/>
      <c r="G37" s="191"/>
      <c r="H37" s="585" t="s">
        <v>165</v>
      </c>
      <c r="I37" s="586"/>
      <c r="J37" s="195"/>
      <c r="K37" s="195"/>
      <c r="L37" s="191"/>
      <c r="M37" s="597" t="s">
        <v>271</v>
      </c>
      <c r="N37" s="598"/>
      <c r="O37" s="598"/>
      <c r="P37" s="599"/>
      <c r="Q37" s="597"/>
      <c r="R37" s="598"/>
      <c r="S37" s="598"/>
      <c r="T37" s="598"/>
      <c r="U37" s="598"/>
      <c r="V37" s="598"/>
      <c r="W37" s="598"/>
      <c r="X37" s="598"/>
      <c r="Y37" s="599"/>
    </row>
    <row r="38" spans="1:25" ht="9.9499999999999993" customHeight="1" x14ac:dyDescent="0.25">
      <c r="A38" s="551"/>
      <c r="B38" s="548"/>
      <c r="C38" s="183"/>
      <c r="D38" s="183"/>
      <c r="E38" s="183"/>
      <c r="F38" s="183"/>
      <c r="G38" s="190"/>
      <c r="H38" s="183"/>
      <c r="I38" s="183"/>
      <c r="J38" s="183"/>
      <c r="K38" s="183"/>
      <c r="L38" s="190"/>
      <c r="M38" s="187"/>
      <c r="N38" s="184"/>
      <c r="O38" s="184"/>
      <c r="P38" s="184"/>
      <c r="Q38" s="593"/>
      <c r="R38" s="594"/>
      <c r="S38" s="594"/>
      <c r="T38" s="594"/>
      <c r="U38" s="594"/>
      <c r="V38" s="594"/>
      <c r="W38" s="594"/>
      <c r="X38" s="594"/>
      <c r="Y38" s="595"/>
    </row>
    <row r="39" spans="1:25" ht="9.9499999999999993" customHeight="1" x14ac:dyDescent="0.25">
      <c r="A39" s="549">
        <f t="shared" ref="A39:A66" si="7">1+A36</f>
        <v>11</v>
      </c>
      <c r="B39" s="548"/>
      <c r="C39" s="188"/>
      <c r="D39" s="188"/>
      <c r="E39" s="188"/>
      <c r="F39" s="188"/>
      <c r="G39" s="189"/>
      <c r="H39" s="188"/>
      <c r="I39" s="188"/>
      <c r="J39" s="188"/>
      <c r="K39" s="188"/>
      <c r="L39" s="189"/>
      <c r="M39" s="185"/>
      <c r="N39" s="186"/>
      <c r="O39" s="186"/>
      <c r="P39" s="186"/>
      <c r="Q39" s="590"/>
      <c r="R39" s="591"/>
      <c r="S39" s="591"/>
      <c r="T39" s="591"/>
      <c r="U39" s="591"/>
      <c r="V39" s="591"/>
      <c r="W39" s="591"/>
      <c r="X39" s="591"/>
      <c r="Y39" s="592"/>
    </row>
    <row r="40" spans="1:25" s="27" customFormat="1" ht="20.100000000000001" customHeight="1" x14ac:dyDescent="0.25">
      <c r="A40" s="550"/>
      <c r="B40" s="548"/>
      <c r="C40" s="585" t="s">
        <v>165</v>
      </c>
      <c r="D40" s="586"/>
      <c r="E40" s="195"/>
      <c r="F40" s="195"/>
      <c r="G40" s="191"/>
      <c r="H40" s="585" t="s">
        <v>165</v>
      </c>
      <c r="I40" s="586"/>
      <c r="J40" s="195"/>
      <c r="K40" s="195"/>
      <c r="L40" s="191"/>
      <c r="M40" s="597" t="s">
        <v>271</v>
      </c>
      <c r="N40" s="598"/>
      <c r="O40" s="598"/>
      <c r="P40" s="599"/>
      <c r="Q40" s="597"/>
      <c r="R40" s="598"/>
      <c r="S40" s="598"/>
      <c r="T40" s="598"/>
      <c r="U40" s="598"/>
      <c r="V40" s="598"/>
      <c r="W40" s="598"/>
      <c r="X40" s="598"/>
      <c r="Y40" s="599"/>
    </row>
    <row r="41" spans="1:25" ht="9.9499999999999993" customHeight="1" x14ac:dyDescent="0.25">
      <c r="A41" s="551"/>
      <c r="B41" s="548"/>
      <c r="C41" s="183"/>
      <c r="D41" s="183"/>
      <c r="E41" s="183"/>
      <c r="F41" s="183"/>
      <c r="G41" s="190"/>
      <c r="H41" s="183"/>
      <c r="I41" s="183"/>
      <c r="J41" s="183"/>
      <c r="K41" s="183"/>
      <c r="L41" s="190"/>
      <c r="M41" s="187"/>
      <c r="N41" s="184"/>
      <c r="O41" s="184"/>
      <c r="P41" s="184"/>
      <c r="Q41" s="593"/>
      <c r="R41" s="594"/>
      <c r="S41" s="594"/>
      <c r="T41" s="594"/>
      <c r="U41" s="594"/>
      <c r="V41" s="594"/>
      <c r="W41" s="594"/>
      <c r="X41" s="594"/>
      <c r="Y41" s="595"/>
    </row>
    <row r="42" spans="1:25" ht="9.9499999999999993" customHeight="1" x14ac:dyDescent="0.25">
      <c r="A42" s="549">
        <f t="shared" si="7"/>
        <v>12</v>
      </c>
      <c r="B42" s="548"/>
      <c r="C42" s="188"/>
      <c r="D42" s="188"/>
      <c r="E42" s="188"/>
      <c r="F42" s="188"/>
      <c r="G42" s="189"/>
      <c r="H42" s="188"/>
      <c r="I42" s="188"/>
      <c r="J42" s="188"/>
      <c r="K42" s="188"/>
      <c r="L42" s="189"/>
      <c r="M42" s="185"/>
      <c r="N42" s="186"/>
      <c r="O42" s="186"/>
      <c r="P42" s="186"/>
      <c r="Q42" s="590"/>
      <c r="R42" s="591"/>
      <c r="S42" s="591"/>
      <c r="T42" s="591"/>
      <c r="U42" s="591"/>
      <c r="V42" s="591"/>
      <c r="W42" s="591"/>
      <c r="X42" s="591"/>
      <c r="Y42" s="592"/>
    </row>
    <row r="43" spans="1:25" s="27" customFormat="1" ht="20.100000000000001" customHeight="1" x14ac:dyDescent="0.25">
      <c r="A43" s="550"/>
      <c r="B43" s="548"/>
      <c r="C43" s="585" t="s">
        <v>165</v>
      </c>
      <c r="D43" s="586"/>
      <c r="E43" s="195"/>
      <c r="F43" s="195"/>
      <c r="G43" s="191"/>
      <c r="H43" s="585" t="s">
        <v>165</v>
      </c>
      <c r="I43" s="586"/>
      <c r="J43" s="195"/>
      <c r="K43" s="195"/>
      <c r="L43" s="191"/>
      <c r="M43" s="597" t="s">
        <v>271</v>
      </c>
      <c r="N43" s="598"/>
      <c r="O43" s="598"/>
      <c r="P43" s="599"/>
      <c r="Q43" s="597"/>
      <c r="R43" s="598"/>
      <c r="S43" s="598"/>
      <c r="T43" s="598"/>
      <c r="U43" s="598"/>
      <c r="V43" s="598"/>
      <c r="W43" s="598"/>
      <c r="X43" s="598"/>
      <c r="Y43" s="599"/>
    </row>
    <row r="44" spans="1:25" ht="9.9499999999999993" customHeight="1" x14ac:dyDescent="0.25">
      <c r="A44" s="551"/>
      <c r="B44" s="548"/>
      <c r="C44" s="183"/>
      <c r="D44" s="183"/>
      <c r="E44" s="183"/>
      <c r="F44" s="183"/>
      <c r="G44" s="190"/>
      <c r="H44" s="183"/>
      <c r="I44" s="183"/>
      <c r="J44" s="183"/>
      <c r="K44" s="183"/>
      <c r="L44" s="190"/>
      <c r="M44" s="187"/>
      <c r="N44" s="184"/>
      <c r="O44" s="184"/>
      <c r="P44" s="184"/>
      <c r="Q44" s="593"/>
      <c r="R44" s="594"/>
      <c r="S44" s="594"/>
      <c r="T44" s="594"/>
      <c r="U44" s="594"/>
      <c r="V44" s="594"/>
      <c r="W44" s="594"/>
      <c r="X44" s="594"/>
      <c r="Y44" s="595"/>
    </row>
    <row r="45" spans="1:25" ht="9.9499999999999993" customHeight="1" x14ac:dyDescent="0.25">
      <c r="A45" s="549">
        <f t="shared" si="7"/>
        <v>13</v>
      </c>
      <c r="B45" s="548"/>
      <c r="C45" s="188"/>
      <c r="D45" s="188"/>
      <c r="E45" s="188"/>
      <c r="F45" s="188"/>
      <c r="G45" s="189"/>
      <c r="H45" s="188"/>
      <c r="I45" s="188"/>
      <c r="J45" s="188"/>
      <c r="K45" s="188"/>
      <c r="L45" s="189"/>
      <c r="M45" s="185"/>
      <c r="N45" s="186"/>
      <c r="O45" s="186"/>
      <c r="P45" s="186"/>
      <c r="Q45" s="590"/>
      <c r="R45" s="591"/>
      <c r="S45" s="591"/>
      <c r="T45" s="591"/>
      <c r="U45" s="591"/>
      <c r="V45" s="591"/>
      <c r="W45" s="591"/>
      <c r="X45" s="591"/>
      <c r="Y45" s="592"/>
    </row>
    <row r="46" spans="1:25" s="27" customFormat="1" ht="20.100000000000001" customHeight="1" x14ac:dyDescent="0.25">
      <c r="A46" s="550"/>
      <c r="B46" s="548"/>
      <c r="C46" s="585" t="s">
        <v>165</v>
      </c>
      <c r="D46" s="586"/>
      <c r="E46" s="195"/>
      <c r="F46" s="195"/>
      <c r="G46" s="191"/>
      <c r="H46" s="585" t="s">
        <v>165</v>
      </c>
      <c r="I46" s="586"/>
      <c r="J46" s="195"/>
      <c r="K46" s="195"/>
      <c r="L46" s="191"/>
      <c r="M46" s="597" t="s">
        <v>271</v>
      </c>
      <c r="N46" s="598"/>
      <c r="O46" s="598"/>
      <c r="P46" s="599"/>
      <c r="Q46" s="597"/>
      <c r="R46" s="598"/>
      <c r="S46" s="598"/>
      <c r="T46" s="598"/>
      <c r="U46" s="598"/>
      <c r="V46" s="598"/>
      <c r="W46" s="598"/>
      <c r="X46" s="598"/>
      <c r="Y46" s="599"/>
    </row>
    <row r="47" spans="1:25" ht="9.9499999999999993" customHeight="1" x14ac:dyDescent="0.25">
      <c r="A47" s="551"/>
      <c r="B47" s="548"/>
      <c r="C47" s="183"/>
      <c r="D47" s="183"/>
      <c r="E47" s="183"/>
      <c r="F47" s="183"/>
      <c r="G47" s="190"/>
      <c r="H47" s="183"/>
      <c r="I47" s="183"/>
      <c r="J47" s="183"/>
      <c r="K47" s="183"/>
      <c r="L47" s="190"/>
      <c r="M47" s="187"/>
      <c r="N47" s="184"/>
      <c r="O47" s="184"/>
      <c r="P47" s="184"/>
      <c r="Q47" s="593"/>
      <c r="R47" s="594"/>
      <c r="S47" s="594"/>
      <c r="T47" s="594"/>
      <c r="U47" s="594"/>
      <c r="V47" s="594"/>
      <c r="W47" s="594"/>
      <c r="X47" s="594"/>
      <c r="Y47" s="595"/>
    </row>
    <row r="48" spans="1:25" ht="9.9499999999999993" customHeight="1" x14ac:dyDescent="0.25">
      <c r="A48" s="549">
        <f t="shared" si="7"/>
        <v>14</v>
      </c>
      <c r="B48" s="548"/>
      <c r="C48" s="188"/>
      <c r="D48" s="188"/>
      <c r="E48" s="188"/>
      <c r="F48" s="188"/>
      <c r="G48" s="189"/>
      <c r="H48" s="188"/>
      <c r="I48" s="188"/>
      <c r="J48" s="188"/>
      <c r="K48" s="188"/>
      <c r="L48" s="189"/>
      <c r="M48" s="185"/>
      <c r="N48" s="186"/>
      <c r="O48" s="186"/>
      <c r="P48" s="186"/>
      <c r="Q48" s="590"/>
      <c r="R48" s="591"/>
      <c r="S48" s="591"/>
      <c r="T48" s="591"/>
      <c r="U48" s="591"/>
      <c r="V48" s="591"/>
      <c r="W48" s="591"/>
      <c r="X48" s="591"/>
      <c r="Y48" s="592"/>
    </row>
    <row r="49" spans="1:25" s="27" customFormat="1" ht="20.100000000000001" customHeight="1" x14ac:dyDescent="0.25">
      <c r="A49" s="550"/>
      <c r="B49" s="548"/>
      <c r="C49" s="585" t="s">
        <v>165</v>
      </c>
      <c r="D49" s="586"/>
      <c r="E49" s="195"/>
      <c r="F49" s="195"/>
      <c r="G49" s="191"/>
      <c r="H49" s="585" t="s">
        <v>165</v>
      </c>
      <c r="I49" s="586"/>
      <c r="J49" s="195"/>
      <c r="K49" s="195"/>
      <c r="L49" s="191"/>
      <c r="M49" s="597" t="s">
        <v>271</v>
      </c>
      <c r="N49" s="598"/>
      <c r="O49" s="598"/>
      <c r="P49" s="599"/>
      <c r="Q49" s="597"/>
      <c r="R49" s="598"/>
      <c r="S49" s="598"/>
      <c r="T49" s="598"/>
      <c r="U49" s="598"/>
      <c r="V49" s="598"/>
      <c r="W49" s="598"/>
      <c r="X49" s="598"/>
      <c r="Y49" s="599"/>
    </row>
    <row r="50" spans="1:25" ht="9.9499999999999993" customHeight="1" x14ac:dyDescent="0.25">
      <c r="A50" s="551"/>
      <c r="B50" s="548"/>
      <c r="C50" s="183"/>
      <c r="D50" s="183"/>
      <c r="E50" s="183"/>
      <c r="F50" s="183"/>
      <c r="G50" s="190"/>
      <c r="H50" s="183"/>
      <c r="I50" s="183"/>
      <c r="J50" s="183"/>
      <c r="K50" s="183"/>
      <c r="L50" s="190"/>
      <c r="M50" s="187"/>
      <c r="N50" s="184"/>
      <c r="O50" s="184"/>
      <c r="P50" s="184"/>
      <c r="Q50" s="593"/>
      <c r="R50" s="594"/>
      <c r="S50" s="594"/>
      <c r="T50" s="594"/>
      <c r="U50" s="594"/>
      <c r="V50" s="594"/>
      <c r="W50" s="594"/>
      <c r="X50" s="594"/>
      <c r="Y50" s="595"/>
    </row>
    <row r="51" spans="1:25" ht="9.9499999999999993" customHeight="1" x14ac:dyDescent="0.25">
      <c r="A51" s="549">
        <f t="shared" si="7"/>
        <v>15</v>
      </c>
      <c r="B51" s="548"/>
      <c r="C51" s="188"/>
      <c r="D51" s="188"/>
      <c r="E51" s="188"/>
      <c r="F51" s="188"/>
      <c r="G51" s="189"/>
      <c r="H51" s="188"/>
      <c r="I51" s="188"/>
      <c r="J51" s="188"/>
      <c r="K51" s="188"/>
      <c r="L51" s="189"/>
      <c r="M51" s="185"/>
      <c r="N51" s="186"/>
      <c r="O51" s="186"/>
      <c r="P51" s="186"/>
      <c r="Q51" s="590"/>
      <c r="R51" s="591"/>
      <c r="S51" s="591"/>
      <c r="T51" s="591"/>
      <c r="U51" s="591"/>
      <c r="V51" s="591"/>
      <c r="W51" s="591"/>
      <c r="X51" s="591"/>
      <c r="Y51" s="592"/>
    </row>
    <row r="52" spans="1:25" s="27" customFormat="1" ht="20.100000000000001" customHeight="1" x14ac:dyDescent="0.25">
      <c r="A52" s="550"/>
      <c r="B52" s="548"/>
      <c r="C52" s="585" t="s">
        <v>165</v>
      </c>
      <c r="D52" s="586"/>
      <c r="E52" s="195"/>
      <c r="F52" s="195"/>
      <c r="G52" s="191"/>
      <c r="H52" s="585" t="s">
        <v>165</v>
      </c>
      <c r="I52" s="586"/>
      <c r="J52" s="195"/>
      <c r="K52" s="195"/>
      <c r="L52" s="191"/>
      <c r="M52" s="597" t="s">
        <v>271</v>
      </c>
      <c r="N52" s="598"/>
      <c r="O52" s="598"/>
      <c r="P52" s="599"/>
      <c r="Q52" s="597"/>
      <c r="R52" s="598"/>
      <c r="S52" s="598"/>
      <c r="T52" s="598"/>
      <c r="U52" s="598"/>
      <c r="V52" s="598"/>
      <c r="W52" s="598"/>
      <c r="X52" s="598"/>
      <c r="Y52" s="599"/>
    </row>
    <row r="53" spans="1:25" ht="9.9499999999999993" customHeight="1" x14ac:dyDescent="0.25">
      <c r="A53" s="551"/>
      <c r="B53" s="548"/>
      <c r="C53" s="183"/>
      <c r="D53" s="183"/>
      <c r="E53" s="183"/>
      <c r="F53" s="183"/>
      <c r="G53" s="190"/>
      <c r="H53" s="183"/>
      <c r="I53" s="183"/>
      <c r="J53" s="183"/>
      <c r="K53" s="183"/>
      <c r="L53" s="190"/>
      <c r="M53" s="187"/>
      <c r="N53" s="184"/>
      <c r="O53" s="184"/>
      <c r="P53" s="184"/>
      <c r="Q53" s="593"/>
      <c r="R53" s="594"/>
      <c r="S53" s="594"/>
      <c r="T53" s="594"/>
      <c r="U53" s="594"/>
      <c r="V53" s="594"/>
      <c r="W53" s="594"/>
      <c r="X53" s="594"/>
      <c r="Y53" s="595"/>
    </row>
    <row r="54" spans="1:25" ht="9.9499999999999993" customHeight="1" x14ac:dyDescent="0.25">
      <c r="A54" s="549">
        <f t="shared" si="7"/>
        <v>16</v>
      </c>
      <c r="B54" s="548"/>
      <c r="C54" s="188"/>
      <c r="D54" s="188"/>
      <c r="E54" s="188"/>
      <c r="F54" s="188"/>
      <c r="G54" s="189"/>
      <c r="H54" s="188"/>
      <c r="I54" s="188"/>
      <c r="J54" s="188"/>
      <c r="K54" s="188"/>
      <c r="L54" s="189"/>
      <c r="M54" s="185"/>
      <c r="N54" s="186"/>
      <c r="O54" s="186"/>
      <c r="P54" s="186"/>
      <c r="Q54" s="590"/>
      <c r="R54" s="591"/>
      <c r="S54" s="591"/>
      <c r="T54" s="591"/>
      <c r="U54" s="591"/>
      <c r="V54" s="591"/>
      <c r="W54" s="591"/>
      <c r="X54" s="591"/>
      <c r="Y54" s="592"/>
    </row>
    <row r="55" spans="1:25" s="27" customFormat="1" ht="20.100000000000001" customHeight="1" x14ac:dyDescent="0.25">
      <c r="A55" s="550"/>
      <c r="B55" s="548"/>
      <c r="C55" s="585" t="s">
        <v>165</v>
      </c>
      <c r="D55" s="586"/>
      <c r="E55" s="195"/>
      <c r="F55" s="195"/>
      <c r="G55" s="191"/>
      <c r="H55" s="585" t="s">
        <v>165</v>
      </c>
      <c r="I55" s="586"/>
      <c r="J55" s="195"/>
      <c r="K55" s="195"/>
      <c r="L55" s="191"/>
      <c r="M55" s="597" t="s">
        <v>271</v>
      </c>
      <c r="N55" s="598"/>
      <c r="O55" s="598"/>
      <c r="P55" s="599"/>
      <c r="Q55" s="597"/>
      <c r="R55" s="598"/>
      <c r="S55" s="598"/>
      <c r="T55" s="598"/>
      <c r="U55" s="598"/>
      <c r="V55" s="598"/>
      <c r="W55" s="598"/>
      <c r="X55" s="598"/>
      <c r="Y55" s="599"/>
    </row>
    <row r="56" spans="1:25" ht="9.9499999999999993" customHeight="1" x14ac:dyDescent="0.25">
      <c r="A56" s="551"/>
      <c r="B56" s="548"/>
      <c r="C56" s="183"/>
      <c r="D56" s="183"/>
      <c r="E56" s="183"/>
      <c r="F56" s="183"/>
      <c r="G56" s="190"/>
      <c r="H56" s="183"/>
      <c r="I56" s="183"/>
      <c r="J56" s="183"/>
      <c r="K56" s="183"/>
      <c r="L56" s="190"/>
      <c r="M56" s="187"/>
      <c r="N56" s="184"/>
      <c r="O56" s="184"/>
      <c r="P56" s="184"/>
      <c r="Q56" s="593"/>
      <c r="R56" s="594"/>
      <c r="S56" s="594"/>
      <c r="T56" s="594"/>
      <c r="U56" s="594"/>
      <c r="V56" s="594"/>
      <c r="W56" s="594"/>
      <c r="X56" s="594"/>
      <c r="Y56" s="595"/>
    </row>
    <row r="57" spans="1:25" ht="9.9499999999999993" customHeight="1" x14ac:dyDescent="0.25">
      <c r="A57" s="549">
        <f t="shared" si="7"/>
        <v>17</v>
      </c>
      <c r="B57" s="548"/>
      <c r="C57" s="188"/>
      <c r="D57" s="188"/>
      <c r="E57" s="188"/>
      <c r="F57" s="188"/>
      <c r="G57" s="189"/>
      <c r="H57" s="188"/>
      <c r="I57" s="188"/>
      <c r="J57" s="188"/>
      <c r="K57" s="188"/>
      <c r="L57" s="189"/>
      <c r="M57" s="185"/>
      <c r="N57" s="186"/>
      <c r="O57" s="186"/>
      <c r="P57" s="186"/>
      <c r="Q57" s="590"/>
      <c r="R57" s="591"/>
      <c r="S57" s="591"/>
      <c r="T57" s="591"/>
      <c r="U57" s="591"/>
      <c r="V57" s="591"/>
      <c r="W57" s="591"/>
      <c r="X57" s="591"/>
      <c r="Y57" s="592"/>
    </row>
    <row r="58" spans="1:25" s="27" customFormat="1" ht="20.100000000000001" customHeight="1" x14ac:dyDescent="0.25">
      <c r="A58" s="550"/>
      <c r="B58" s="548"/>
      <c r="C58" s="585" t="s">
        <v>165</v>
      </c>
      <c r="D58" s="586"/>
      <c r="E58" s="195"/>
      <c r="F58" s="195"/>
      <c r="G58" s="191"/>
      <c r="H58" s="585" t="s">
        <v>165</v>
      </c>
      <c r="I58" s="586"/>
      <c r="J58" s="195"/>
      <c r="K58" s="195"/>
      <c r="L58" s="191"/>
      <c r="M58" s="597" t="s">
        <v>271</v>
      </c>
      <c r="N58" s="598"/>
      <c r="O58" s="598"/>
      <c r="P58" s="599"/>
      <c r="Q58" s="597"/>
      <c r="R58" s="598"/>
      <c r="S58" s="598"/>
      <c r="T58" s="598"/>
      <c r="U58" s="598"/>
      <c r="V58" s="598"/>
      <c r="W58" s="598"/>
      <c r="X58" s="598"/>
      <c r="Y58" s="599"/>
    </row>
    <row r="59" spans="1:25" ht="9.9499999999999993" customHeight="1" x14ac:dyDescent="0.25">
      <c r="A59" s="551"/>
      <c r="B59" s="548"/>
      <c r="C59" s="183"/>
      <c r="D59" s="183"/>
      <c r="E59" s="183"/>
      <c r="F59" s="183"/>
      <c r="G59" s="190"/>
      <c r="H59" s="183"/>
      <c r="I59" s="183"/>
      <c r="J59" s="183"/>
      <c r="K59" s="183"/>
      <c r="L59" s="190"/>
      <c r="M59" s="187"/>
      <c r="N59" s="184"/>
      <c r="O59" s="184"/>
      <c r="P59" s="184"/>
      <c r="Q59" s="593"/>
      <c r="R59" s="594"/>
      <c r="S59" s="594"/>
      <c r="T59" s="594"/>
      <c r="U59" s="594"/>
      <c r="V59" s="594"/>
      <c r="W59" s="594"/>
      <c r="X59" s="594"/>
      <c r="Y59" s="595"/>
    </row>
    <row r="60" spans="1:25" ht="9.9499999999999993" customHeight="1" x14ac:dyDescent="0.25">
      <c r="A60" s="549">
        <f t="shared" si="7"/>
        <v>18</v>
      </c>
      <c r="B60" s="548"/>
      <c r="C60" s="188"/>
      <c r="D60" s="188"/>
      <c r="E60" s="188"/>
      <c r="F60" s="188"/>
      <c r="G60" s="189"/>
      <c r="H60" s="188"/>
      <c r="I60" s="188"/>
      <c r="J60" s="188"/>
      <c r="K60" s="188"/>
      <c r="L60" s="189"/>
      <c r="M60" s="185"/>
      <c r="N60" s="186"/>
      <c r="O60" s="186"/>
      <c r="P60" s="186"/>
      <c r="Q60" s="590"/>
      <c r="R60" s="591"/>
      <c r="S60" s="591"/>
      <c r="T60" s="591"/>
      <c r="U60" s="591"/>
      <c r="V60" s="591"/>
      <c r="W60" s="591"/>
      <c r="X60" s="591"/>
      <c r="Y60" s="592"/>
    </row>
    <row r="61" spans="1:25" s="27" customFormat="1" ht="20.100000000000001" customHeight="1" x14ac:dyDescent="0.25">
      <c r="A61" s="550"/>
      <c r="B61" s="548"/>
      <c r="C61" s="585" t="s">
        <v>165</v>
      </c>
      <c r="D61" s="586"/>
      <c r="E61" s="195"/>
      <c r="F61" s="195"/>
      <c r="G61" s="191"/>
      <c r="H61" s="585" t="s">
        <v>165</v>
      </c>
      <c r="I61" s="586"/>
      <c r="J61" s="195"/>
      <c r="K61" s="195"/>
      <c r="L61" s="191"/>
      <c r="M61" s="597" t="s">
        <v>271</v>
      </c>
      <c r="N61" s="598"/>
      <c r="O61" s="598"/>
      <c r="P61" s="599"/>
      <c r="Q61" s="597"/>
      <c r="R61" s="598"/>
      <c r="S61" s="598"/>
      <c r="T61" s="598"/>
      <c r="U61" s="598"/>
      <c r="V61" s="598"/>
      <c r="W61" s="598"/>
      <c r="X61" s="598"/>
      <c r="Y61" s="599"/>
    </row>
    <row r="62" spans="1:25" ht="9.9499999999999993" customHeight="1" x14ac:dyDescent="0.25">
      <c r="A62" s="551"/>
      <c r="B62" s="548"/>
      <c r="C62" s="183"/>
      <c r="D62" s="183"/>
      <c r="E62" s="183"/>
      <c r="F62" s="183"/>
      <c r="G62" s="190"/>
      <c r="H62" s="183"/>
      <c r="I62" s="183"/>
      <c r="J62" s="183"/>
      <c r="K62" s="183"/>
      <c r="L62" s="190"/>
      <c r="M62" s="187"/>
      <c r="N62" s="184"/>
      <c r="O62" s="184"/>
      <c r="P62" s="184"/>
      <c r="Q62" s="593"/>
      <c r="R62" s="594"/>
      <c r="S62" s="594"/>
      <c r="T62" s="594"/>
      <c r="U62" s="594"/>
      <c r="V62" s="594"/>
      <c r="W62" s="594"/>
      <c r="X62" s="594"/>
      <c r="Y62" s="595"/>
    </row>
    <row r="63" spans="1:25" ht="9.9499999999999993" customHeight="1" x14ac:dyDescent="0.25">
      <c r="A63" s="549">
        <f t="shared" si="7"/>
        <v>19</v>
      </c>
      <c r="B63" s="548"/>
      <c r="C63" s="188"/>
      <c r="D63" s="188"/>
      <c r="E63" s="188"/>
      <c r="F63" s="188"/>
      <c r="G63" s="189"/>
      <c r="H63" s="188"/>
      <c r="I63" s="188"/>
      <c r="J63" s="188"/>
      <c r="K63" s="188"/>
      <c r="L63" s="189"/>
      <c r="M63" s="185"/>
      <c r="N63" s="186"/>
      <c r="O63" s="186"/>
      <c r="P63" s="186"/>
      <c r="Q63" s="590"/>
      <c r="R63" s="591"/>
      <c r="S63" s="591"/>
      <c r="T63" s="591"/>
      <c r="U63" s="591"/>
      <c r="V63" s="591"/>
      <c r="W63" s="591"/>
      <c r="X63" s="591"/>
      <c r="Y63" s="592"/>
    </row>
    <row r="64" spans="1:25" s="27" customFormat="1" ht="20.100000000000001" customHeight="1" x14ac:dyDescent="0.25">
      <c r="A64" s="550"/>
      <c r="B64" s="548"/>
      <c r="C64" s="585" t="s">
        <v>165</v>
      </c>
      <c r="D64" s="586"/>
      <c r="E64" s="195"/>
      <c r="F64" s="195"/>
      <c r="G64" s="191"/>
      <c r="H64" s="585" t="s">
        <v>165</v>
      </c>
      <c r="I64" s="586"/>
      <c r="J64" s="195"/>
      <c r="K64" s="195"/>
      <c r="L64" s="191"/>
      <c r="M64" s="597" t="s">
        <v>271</v>
      </c>
      <c r="N64" s="598"/>
      <c r="O64" s="598"/>
      <c r="P64" s="599"/>
      <c r="Q64" s="597"/>
      <c r="R64" s="598"/>
      <c r="S64" s="598"/>
      <c r="T64" s="598"/>
      <c r="U64" s="598"/>
      <c r="V64" s="598"/>
      <c r="W64" s="598"/>
      <c r="X64" s="598"/>
      <c r="Y64" s="599"/>
    </row>
    <row r="65" spans="1:25" ht="9.9499999999999993" customHeight="1" x14ac:dyDescent="0.25">
      <c r="A65" s="551"/>
      <c r="B65" s="548"/>
      <c r="C65" s="183"/>
      <c r="D65" s="183"/>
      <c r="E65" s="183"/>
      <c r="F65" s="183"/>
      <c r="G65" s="190"/>
      <c r="H65" s="183"/>
      <c r="I65" s="183"/>
      <c r="J65" s="183"/>
      <c r="K65" s="183"/>
      <c r="L65" s="190"/>
      <c r="M65" s="187"/>
      <c r="N65" s="184"/>
      <c r="O65" s="184"/>
      <c r="P65" s="184"/>
      <c r="Q65" s="593"/>
      <c r="R65" s="594"/>
      <c r="S65" s="594"/>
      <c r="T65" s="594"/>
      <c r="U65" s="594"/>
      <c r="V65" s="594"/>
      <c r="W65" s="594"/>
      <c r="X65" s="594"/>
      <c r="Y65" s="595"/>
    </row>
    <row r="66" spans="1:25" ht="9.9499999999999993" customHeight="1" x14ac:dyDescent="0.25">
      <c r="A66" s="549">
        <f t="shared" si="7"/>
        <v>20</v>
      </c>
      <c r="B66" s="548"/>
      <c r="C66" s="188"/>
      <c r="D66" s="188"/>
      <c r="E66" s="188"/>
      <c r="F66" s="188"/>
      <c r="G66" s="189"/>
      <c r="H66" s="188"/>
      <c r="I66" s="188"/>
      <c r="J66" s="188"/>
      <c r="K66" s="188"/>
      <c r="L66" s="189"/>
      <c r="M66" s="185"/>
      <c r="N66" s="186"/>
      <c r="O66" s="186"/>
      <c r="P66" s="186"/>
      <c r="Q66" s="590"/>
      <c r="R66" s="591"/>
      <c r="S66" s="591"/>
      <c r="T66" s="591"/>
      <c r="U66" s="591"/>
      <c r="V66" s="591"/>
      <c r="W66" s="591"/>
      <c r="X66" s="591"/>
      <c r="Y66" s="592"/>
    </row>
    <row r="67" spans="1:25" s="27" customFormat="1" ht="20.100000000000001" customHeight="1" x14ac:dyDescent="0.25">
      <c r="A67" s="550"/>
      <c r="B67" s="548"/>
      <c r="C67" s="585" t="s">
        <v>165</v>
      </c>
      <c r="D67" s="586"/>
      <c r="E67" s="195"/>
      <c r="F67" s="195"/>
      <c r="G67" s="191"/>
      <c r="H67" s="585" t="s">
        <v>165</v>
      </c>
      <c r="I67" s="586"/>
      <c r="J67" s="195"/>
      <c r="K67" s="195"/>
      <c r="L67" s="191"/>
      <c r="M67" s="597" t="s">
        <v>271</v>
      </c>
      <c r="N67" s="598"/>
      <c r="O67" s="598"/>
      <c r="P67" s="599"/>
      <c r="Q67" s="597"/>
      <c r="R67" s="598"/>
      <c r="S67" s="598"/>
      <c r="T67" s="598"/>
      <c r="U67" s="598"/>
      <c r="V67" s="598"/>
      <c r="W67" s="598"/>
      <c r="X67" s="598"/>
      <c r="Y67" s="599"/>
    </row>
    <row r="68" spans="1:25" ht="9.9499999999999993" customHeight="1" x14ac:dyDescent="0.25">
      <c r="A68" s="551"/>
      <c r="B68" s="548"/>
      <c r="C68" s="183"/>
      <c r="D68" s="183"/>
      <c r="E68" s="183"/>
      <c r="F68" s="183"/>
      <c r="G68" s="190"/>
      <c r="H68" s="183"/>
      <c r="I68" s="183"/>
      <c r="J68" s="183"/>
      <c r="K68" s="183"/>
      <c r="L68" s="190"/>
      <c r="M68" s="187"/>
      <c r="N68" s="184"/>
      <c r="O68" s="184"/>
      <c r="P68" s="184"/>
      <c r="Q68" s="593"/>
      <c r="R68" s="594"/>
      <c r="S68" s="594"/>
      <c r="T68" s="594"/>
      <c r="U68" s="594"/>
      <c r="V68" s="594"/>
      <c r="W68" s="594"/>
      <c r="X68" s="594"/>
      <c r="Y68" s="595"/>
    </row>
    <row r="69" spans="1:25" ht="9.9499999999999993" customHeight="1" x14ac:dyDescent="0.25">
      <c r="A69" s="549">
        <f t="shared" ref="A69:A96" si="8">1+A66</f>
        <v>21</v>
      </c>
      <c r="B69" s="548"/>
      <c r="C69" s="188"/>
      <c r="D69" s="188"/>
      <c r="E69" s="188"/>
      <c r="F69" s="188"/>
      <c r="G69" s="189"/>
      <c r="H69" s="188"/>
      <c r="I69" s="188"/>
      <c r="J69" s="188"/>
      <c r="K69" s="188"/>
      <c r="L69" s="189"/>
      <c r="M69" s="185"/>
      <c r="N69" s="186"/>
      <c r="O69" s="186"/>
      <c r="P69" s="186"/>
      <c r="Q69" s="590"/>
      <c r="R69" s="591"/>
      <c r="S69" s="591"/>
      <c r="T69" s="591"/>
      <c r="U69" s="591"/>
      <c r="V69" s="591"/>
      <c r="W69" s="591"/>
      <c r="X69" s="591"/>
      <c r="Y69" s="592"/>
    </row>
    <row r="70" spans="1:25" s="27" customFormat="1" ht="20.100000000000001" customHeight="1" x14ac:dyDescent="0.25">
      <c r="A70" s="550"/>
      <c r="B70" s="548"/>
      <c r="C70" s="585" t="s">
        <v>165</v>
      </c>
      <c r="D70" s="586"/>
      <c r="E70" s="195"/>
      <c r="F70" s="195"/>
      <c r="G70" s="191"/>
      <c r="H70" s="585" t="s">
        <v>165</v>
      </c>
      <c r="I70" s="586"/>
      <c r="J70" s="195"/>
      <c r="K70" s="195"/>
      <c r="L70" s="191"/>
      <c r="M70" s="597" t="s">
        <v>271</v>
      </c>
      <c r="N70" s="598"/>
      <c r="O70" s="598"/>
      <c r="P70" s="599"/>
      <c r="Q70" s="597"/>
      <c r="R70" s="598"/>
      <c r="S70" s="598"/>
      <c r="T70" s="598"/>
      <c r="U70" s="598"/>
      <c r="V70" s="598"/>
      <c r="W70" s="598"/>
      <c r="X70" s="598"/>
      <c r="Y70" s="599"/>
    </row>
    <row r="71" spans="1:25" ht="9.9499999999999993" customHeight="1" x14ac:dyDescent="0.25">
      <c r="A71" s="551"/>
      <c r="B71" s="548"/>
      <c r="C71" s="183"/>
      <c r="D71" s="183"/>
      <c r="E71" s="183"/>
      <c r="F71" s="183"/>
      <c r="G71" s="190"/>
      <c r="H71" s="183"/>
      <c r="I71" s="183"/>
      <c r="J71" s="183"/>
      <c r="K71" s="183"/>
      <c r="L71" s="190"/>
      <c r="M71" s="187"/>
      <c r="N71" s="184"/>
      <c r="O71" s="184"/>
      <c r="P71" s="184"/>
      <c r="Q71" s="593"/>
      <c r="R71" s="594"/>
      <c r="S71" s="594"/>
      <c r="T71" s="594"/>
      <c r="U71" s="594"/>
      <c r="V71" s="594"/>
      <c r="W71" s="594"/>
      <c r="X71" s="594"/>
      <c r="Y71" s="595"/>
    </row>
    <row r="72" spans="1:25" ht="9.9499999999999993" customHeight="1" x14ac:dyDescent="0.25">
      <c r="A72" s="549">
        <f t="shared" si="8"/>
        <v>22</v>
      </c>
      <c r="B72" s="548"/>
      <c r="C72" s="188"/>
      <c r="D72" s="188"/>
      <c r="E72" s="188"/>
      <c r="F72" s="188"/>
      <c r="G72" s="189"/>
      <c r="H72" s="188"/>
      <c r="I72" s="188"/>
      <c r="J72" s="188"/>
      <c r="K72" s="188"/>
      <c r="L72" s="189"/>
      <c r="M72" s="185"/>
      <c r="N72" s="186"/>
      <c r="O72" s="186"/>
      <c r="P72" s="186"/>
      <c r="Q72" s="590"/>
      <c r="R72" s="591"/>
      <c r="S72" s="591"/>
      <c r="T72" s="591"/>
      <c r="U72" s="591"/>
      <c r="V72" s="591"/>
      <c r="W72" s="591"/>
      <c r="X72" s="591"/>
      <c r="Y72" s="592"/>
    </row>
    <row r="73" spans="1:25" s="27" customFormat="1" ht="20.100000000000001" customHeight="1" x14ac:dyDescent="0.25">
      <c r="A73" s="550"/>
      <c r="B73" s="548"/>
      <c r="C73" s="585" t="s">
        <v>165</v>
      </c>
      <c r="D73" s="586"/>
      <c r="E73" s="195"/>
      <c r="F73" s="195"/>
      <c r="G73" s="191"/>
      <c r="H73" s="585" t="s">
        <v>165</v>
      </c>
      <c r="I73" s="586"/>
      <c r="J73" s="195"/>
      <c r="K73" s="195"/>
      <c r="L73" s="191"/>
      <c r="M73" s="597" t="s">
        <v>271</v>
      </c>
      <c r="N73" s="598"/>
      <c r="O73" s="598"/>
      <c r="P73" s="599"/>
      <c r="Q73" s="597"/>
      <c r="R73" s="598"/>
      <c r="S73" s="598"/>
      <c r="T73" s="598"/>
      <c r="U73" s="598"/>
      <c r="V73" s="598"/>
      <c r="W73" s="598"/>
      <c r="X73" s="598"/>
      <c r="Y73" s="599"/>
    </row>
    <row r="74" spans="1:25" ht="9.9499999999999993" customHeight="1" x14ac:dyDescent="0.25">
      <c r="A74" s="551"/>
      <c r="B74" s="548"/>
      <c r="C74" s="183"/>
      <c r="D74" s="183"/>
      <c r="E74" s="183"/>
      <c r="F74" s="183"/>
      <c r="G74" s="190"/>
      <c r="H74" s="183"/>
      <c r="I74" s="183"/>
      <c r="J74" s="183"/>
      <c r="K74" s="183"/>
      <c r="L74" s="190"/>
      <c r="M74" s="187"/>
      <c r="N74" s="184"/>
      <c r="O74" s="184"/>
      <c r="P74" s="184"/>
      <c r="Q74" s="593"/>
      <c r="R74" s="594"/>
      <c r="S74" s="594"/>
      <c r="T74" s="594"/>
      <c r="U74" s="594"/>
      <c r="V74" s="594"/>
      <c r="W74" s="594"/>
      <c r="X74" s="594"/>
      <c r="Y74" s="595"/>
    </row>
    <row r="75" spans="1:25" ht="9.9499999999999993" customHeight="1" x14ac:dyDescent="0.25">
      <c r="A75" s="549">
        <f t="shared" si="8"/>
        <v>23</v>
      </c>
      <c r="B75" s="548"/>
      <c r="C75" s="188"/>
      <c r="D75" s="188"/>
      <c r="E75" s="188"/>
      <c r="F75" s="188"/>
      <c r="G75" s="189"/>
      <c r="H75" s="188"/>
      <c r="I75" s="188"/>
      <c r="J75" s="188"/>
      <c r="K75" s="188"/>
      <c r="L75" s="189"/>
      <c r="M75" s="185"/>
      <c r="N75" s="186"/>
      <c r="O75" s="186"/>
      <c r="P75" s="186"/>
      <c r="Q75" s="590"/>
      <c r="R75" s="591"/>
      <c r="S75" s="591"/>
      <c r="T75" s="591"/>
      <c r="U75" s="591"/>
      <c r="V75" s="591"/>
      <c r="W75" s="591"/>
      <c r="X75" s="591"/>
      <c r="Y75" s="592"/>
    </row>
    <row r="76" spans="1:25" s="27" customFormat="1" ht="20.100000000000001" customHeight="1" x14ac:dyDescent="0.25">
      <c r="A76" s="550"/>
      <c r="B76" s="548"/>
      <c r="C76" s="585" t="s">
        <v>165</v>
      </c>
      <c r="D76" s="586"/>
      <c r="E76" s="195"/>
      <c r="F76" s="195"/>
      <c r="G76" s="191"/>
      <c r="H76" s="585" t="s">
        <v>165</v>
      </c>
      <c r="I76" s="586"/>
      <c r="J76" s="195"/>
      <c r="K76" s="195"/>
      <c r="L76" s="191"/>
      <c r="M76" s="597" t="s">
        <v>271</v>
      </c>
      <c r="N76" s="598"/>
      <c r="O76" s="598"/>
      <c r="P76" s="599"/>
      <c r="Q76" s="597"/>
      <c r="R76" s="598"/>
      <c r="S76" s="598"/>
      <c r="T76" s="598"/>
      <c r="U76" s="598"/>
      <c r="V76" s="598"/>
      <c r="W76" s="598"/>
      <c r="X76" s="598"/>
      <c r="Y76" s="599"/>
    </row>
    <row r="77" spans="1:25" ht="9.9499999999999993" customHeight="1" x14ac:dyDescent="0.25">
      <c r="A77" s="551"/>
      <c r="B77" s="548"/>
      <c r="C77" s="183"/>
      <c r="D77" s="183"/>
      <c r="E77" s="183"/>
      <c r="F77" s="183"/>
      <c r="G77" s="190"/>
      <c r="H77" s="183"/>
      <c r="I77" s="183"/>
      <c r="J77" s="183"/>
      <c r="K77" s="183"/>
      <c r="L77" s="190"/>
      <c r="M77" s="187"/>
      <c r="N77" s="184"/>
      <c r="O77" s="184"/>
      <c r="P77" s="184"/>
      <c r="Q77" s="593"/>
      <c r="R77" s="594"/>
      <c r="S77" s="594"/>
      <c r="T77" s="594"/>
      <c r="U77" s="594"/>
      <c r="V77" s="594"/>
      <c r="W77" s="594"/>
      <c r="X77" s="594"/>
      <c r="Y77" s="595"/>
    </row>
    <row r="78" spans="1:25" ht="9.9499999999999993" customHeight="1" x14ac:dyDescent="0.25">
      <c r="A78" s="549">
        <f t="shared" si="8"/>
        <v>24</v>
      </c>
      <c r="B78" s="548"/>
      <c r="C78" s="188"/>
      <c r="D78" s="188"/>
      <c r="E78" s="188"/>
      <c r="F78" s="188"/>
      <c r="G78" s="189"/>
      <c r="H78" s="188"/>
      <c r="I78" s="188"/>
      <c r="J78" s="188"/>
      <c r="K78" s="188"/>
      <c r="L78" s="189"/>
      <c r="M78" s="185"/>
      <c r="N78" s="186"/>
      <c r="O78" s="186"/>
      <c r="P78" s="186"/>
      <c r="Q78" s="590"/>
      <c r="R78" s="591"/>
      <c r="S78" s="591"/>
      <c r="T78" s="591"/>
      <c r="U78" s="591"/>
      <c r="V78" s="591"/>
      <c r="W78" s="591"/>
      <c r="X78" s="591"/>
      <c r="Y78" s="592"/>
    </row>
    <row r="79" spans="1:25" s="27" customFormat="1" ht="20.100000000000001" customHeight="1" x14ac:dyDescent="0.25">
      <c r="A79" s="550"/>
      <c r="B79" s="548"/>
      <c r="C79" s="585" t="s">
        <v>165</v>
      </c>
      <c r="D79" s="586"/>
      <c r="E79" s="195"/>
      <c r="F79" s="195"/>
      <c r="G79" s="191"/>
      <c r="H79" s="585" t="s">
        <v>165</v>
      </c>
      <c r="I79" s="586"/>
      <c r="J79" s="195"/>
      <c r="K79" s="195"/>
      <c r="L79" s="191"/>
      <c r="M79" s="597" t="s">
        <v>271</v>
      </c>
      <c r="N79" s="598"/>
      <c r="O79" s="598"/>
      <c r="P79" s="599"/>
      <c r="Q79" s="597"/>
      <c r="R79" s="598"/>
      <c r="S79" s="598"/>
      <c r="T79" s="598"/>
      <c r="U79" s="598"/>
      <c r="V79" s="598"/>
      <c r="W79" s="598"/>
      <c r="X79" s="598"/>
      <c r="Y79" s="599"/>
    </row>
    <row r="80" spans="1:25" ht="9.9499999999999993" customHeight="1" x14ac:dyDescent="0.25">
      <c r="A80" s="551"/>
      <c r="B80" s="548"/>
      <c r="C80" s="183"/>
      <c r="D80" s="183"/>
      <c r="E80" s="183"/>
      <c r="F80" s="183"/>
      <c r="G80" s="190"/>
      <c r="H80" s="183"/>
      <c r="I80" s="183"/>
      <c r="J80" s="183"/>
      <c r="K80" s="183"/>
      <c r="L80" s="190"/>
      <c r="M80" s="187"/>
      <c r="N80" s="184"/>
      <c r="O80" s="184"/>
      <c r="P80" s="184"/>
      <c r="Q80" s="593"/>
      <c r="R80" s="594"/>
      <c r="S80" s="594"/>
      <c r="T80" s="594"/>
      <c r="U80" s="594"/>
      <c r="V80" s="594"/>
      <c r="W80" s="594"/>
      <c r="X80" s="594"/>
      <c r="Y80" s="595"/>
    </row>
    <row r="81" spans="1:25" ht="9.9499999999999993" customHeight="1" x14ac:dyDescent="0.25">
      <c r="A81" s="549">
        <f t="shared" si="8"/>
        <v>25</v>
      </c>
      <c r="B81" s="548"/>
      <c r="C81" s="188"/>
      <c r="D81" s="188"/>
      <c r="E81" s="188"/>
      <c r="F81" s="188"/>
      <c r="G81" s="189"/>
      <c r="H81" s="188"/>
      <c r="I81" s="188"/>
      <c r="J81" s="188"/>
      <c r="K81" s="188"/>
      <c r="L81" s="189"/>
      <c r="M81" s="185"/>
      <c r="N81" s="186"/>
      <c r="O81" s="186"/>
      <c r="P81" s="186"/>
      <c r="Q81" s="590"/>
      <c r="R81" s="591"/>
      <c r="S81" s="591"/>
      <c r="T81" s="591"/>
      <c r="U81" s="591"/>
      <c r="V81" s="591"/>
      <c r="W81" s="591"/>
      <c r="X81" s="591"/>
      <c r="Y81" s="592"/>
    </row>
    <row r="82" spans="1:25" s="27" customFormat="1" ht="20.100000000000001" customHeight="1" x14ac:dyDescent="0.25">
      <c r="A82" s="550"/>
      <c r="B82" s="548"/>
      <c r="C82" s="585" t="s">
        <v>165</v>
      </c>
      <c r="D82" s="586"/>
      <c r="E82" s="195"/>
      <c r="F82" s="195"/>
      <c r="G82" s="191"/>
      <c r="H82" s="585" t="s">
        <v>165</v>
      </c>
      <c r="I82" s="586"/>
      <c r="J82" s="195"/>
      <c r="K82" s="195"/>
      <c r="L82" s="191"/>
      <c r="M82" s="597" t="s">
        <v>271</v>
      </c>
      <c r="N82" s="598"/>
      <c r="O82" s="598"/>
      <c r="P82" s="599"/>
      <c r="Q82" s="597"/>
      <c r="R82" s="598"/>
      <c r="S82" s="598"/>
      <c r="T82" s="598"/>
      <c r="U82" s="598"/>
      <c r="V82" s="598"/>
      <c r="W82" s="598"/>
      <c r="X82" s="598"/>
      <c r="Y82" s="599"/>
    </row>
    <row r="83" spans="1:25" ht="9.9499999999999993" customHeight="1" x14ac:dyDescent="0.25">
      <c r="A83" s="551"/>
      <c r="B83" s="548"/>
      <c r="C83" s="183"/>
      <c r="D83" s="183"/>
      <c r="E83" s="183"/>
      <c r="F83" s="183"/>
      <c r="G83" s="190"/>
      <c r="H83" s="183"/>
      <c r="I83" s="183"/>
      <c r="J83" s="183"/>
      <c r="K83" s="183"/>
      <c r="L83" s="190"/>
      <c r="M83" s="187"/>
      <c r="N83" s="184"/>
      <c r="O83" s="184"/>
      <c r="P83" s="184"/>
      <c r="Q83" s="593"/>
      <c r="R83" s="594"/>
      <c r="S83" s="594"/>
      <c r="T83" s="594"/>
      <c r="U83" s="594"/>
      <c r="V83" s="594"/>
      <c r="W83" s="594"/>
      <c r="X83" s="594"/>
      <c r="Y83" s="595"/>
    </row>
    <row r="84" spans="1:25" ht="9.9499999999999993" customHeight="1" x14ac:dyDescent="0.25">
      <c r="A84" s="549">
        <f t="shared" si="8"/>
        <v>26</v>
      </c>
      <c r="B84" s="548"/>
      <c r="C84" s="188"/>
      <c r="D84" s="188"/>
      <c r="E84" s="188"/>
      <c r="F84" s="188"/>
      <c r="G84" s="189"/>
      <c r="H84" s="188"/>
      <c r="I84" s="188"/>
      <c r="J84" s="188"/>
      <c r="K84" s="188"/>
      <c r="L84" s="189"/>
      <c r="M84" s="185"/>
      <c r="N84" s="186"/>
      <c r="O84" s="186"/>
      <c r="P84" s="186"/>
      <c r="Q84" s="590"/>
      <c r="R84" s="591"/>
      <c r="S84" s="591"/>
      <c r="T84" s="591"/>
      <c r="U84" s="591"/>
      <c r="V84" s="591"/>
      <c r="W84" s="591"/>
      <c r="X84" s="591"/>
      <c r="Y84" s="592"/>
    </row>
    <row r="85" spans="1:25" s="27" customFormat="1" ht="20.100000000000001" customHeight="1" x14ac:dyDescent="0.25">
      <c r="A85" s="550"/>
      <c r="B85" s="548"/>
      <c r="C85" s="585" t="s">
        <v>165</v>
      </c>
      <c r="D85" s="586"/>
      <c r="E85" s="195"/>
      <c r="F85" s="195"/>
      <c r="G85" s="191"/>
      <c r="H85" s="585" t="s">
        <v>165</v>
      </c>
      <c r="I85" s="586"/>
      <c r="J85" s="195"/>
      <c r="K85" s="195"/>
      <c r="L85" s="191"/>
      <c r="M85" s="597" t="s">
        <v>271</v>
      </c>
      <c r="N85" s="598"/>
      <c r="O85" s="598"/>
      <c r="P85" s="599"/>
      <c r="Q85" s="597"/>
      <c r="R85" s="598"/>
      <c r="S85" s="598"/>
      <c r="T85" s="598"/>
      <c r="U85" s="598"/>
      <c r="V85" s="598"/>
      <c r="W85" s="598"/>
      <c r="X85" s="598"/>
      <c r="Y85" s="599"/>
    </row>
    <row r="86" spans="1:25" ht="9.9499999999999993" customHeight="1" x14ac:dyDescent="0.25">
      <c r="A86" s="551"/>
      <c r="B86" s="548"/>
      <c r="C86" s="183"/>
      <c r="D86" s="183"/>
      <c r="E86" s="183"/>
      <c r="F86" s="183"/>
      <c r="G86" s="190"/>
      <c r="H86" s="183"/>
      <c r="I86" s="183"/>
      <c r="J86" s="183"/>
      <c r="K86" s="183"/>
      <c r="L86" s="190"/>
      <c r="M86" s="187"/>
      <c r="N86" s="184"/>
      <c r="O86" s="184"/>
      <c r="P86" s="184"/>
      <c r="Q86" s="593"/>
      <c r="R86" s="594"/>
      <c r="S86" s="594"/>
      <c r="T86" s="594"/>
      <c r="U86" s="594"/>
      <c r="V86" s="594"/>
      <c r="W86" s="594"/>
      <c r="X86" s="594"/>
      <c r="Y86" s="595"/>
    </row>
    <row r="87" spans="1:25" ht="9.9499999999999993" customHeight="1" x14ac:dyDescent="0.25">
      <c r="A87" s="549">
        <f t="shared" si="8"/>
        <v>27</v>
      </c>
      <c r="B87" s="548"/>
      <c r="C87" s="188"/>
      <c r="D87" s="188"/>
      <c r="E87" s="188"/>
      <c r="F87" s="188"/>
      <c r="G87" s="189"/>
      <c r="H87" s="188"/>
      <c r="I87" s="188"/>
      <c r="J87" s="188"/>
      <c r="K87" s="188"/>
      <c r="L87" s="189"/>
      <c r="M87" s="185"/>
      <c r="N87" s="186"/>
      <c r="O87" s="186"/>
      <c r="P87" s="186"/>
      <c r="Q87" s="590"/>
      <c r="R87" s="591"/>
      <c r="S87" s="591"/>
      <c r="T87" s="591"/>
      <c r="U87" s="591"/>
      <c r="V87" s="591"/>
      <c r="W87" s="591"/>
      <c r="X87" s="591"/>
      <c r="Y87" s="592"/>
    </row>
    <row r="88" spans="1:25" s="27" customFormat="1" ht="20.100000000000001" customHeight="1" x14ac:dyDescent="0.25">
      <c r="A88" s="550"/>
      <c r="B88" s="548"/>
      <c r="C88" s="585" t="s">
        <v>165</v>
      </c>
      <c r="D88" s="586"/>
      <c r="E88" s="195"/>
      <c r="F88" s="195"/>
      <c r="G88" s="191"/>
      <c r="H88" s="585" t="s">
        <v>165</v>
      </c>
      <c r="I88" s="586"/>
      <c r="J88" s="195"/>
      <c r="K88" s="195"/>
      <c r="L88" s="191"/>
      <c r="M88" s="597" t="s">
        <v>271</v>
      </c>
      <c r="N88" s="598"/>
      <c r="O88" s="598"/>
      <c r="P88" s="599"/>
      <c r="Q88" s="597"/>
      <c r="R88" s="598"/>
      <c r="S88" s="598"/>
      <c r="T88" s="598"/>
      <c r="U88" s="598"/>
      <c r="V88" s="598"/>
      <c r="W88" s="598"/>
      <c r="X88" s="598"/>
      <c r="Y88" s="599"/>
    </row>
    <row r="89" spans="1:25" ht="9.9499999999999993" customHeight="1" x14ac:dyDescent="0.25">
      <c r="A89" s="551"/>
      <c r="B89" s="548"/>
      <c r="C89" s="183"/>
      <c r="D89" s="183"/>
      <c r="E89" s="183"/>
      <c r="F89" s="183"/>
      <c r="G89" s="190"/>
      <c r="H89" s="183"/>
      <c r="I89" s="183"/>
      <c r="J89" s="183"/>
      <c r="K89" s="183"/>
      <c r="L89" s="190"/>
      <c r="M89" s="187"/>
      <c r="N89" s="184"/>
      <c r="O89" s="184"/>
      <c r="P89" s="184"/>
      <c r="Q89" s="593"/>
      <c r="R89" s="594"/>
      <c r="S89" s="594"/>
      <c r="T89" s="594"/>
      <c r="U89" s="594"/>
      <c r="V89" s="594"/>
      <c r="W89" s="594"/>
      <c r="X89" s="594"/>
      <c r="Y89" s="595"/>
    </row>
    <row r="90" spans="1:25" ht="9.9499999999999993" customHeight="1" x14ac:dyDescent="0.25">
      <c r="A90" s="549">
        <f t="shared" si="8"/>
        <v>28</v>
      </c>
      <c r="B90" s="548"/>
      <c r="C90" s="188"/>
      <c r="D90" s="188"/>
      <c r="E90" s="188"/>
      <c r="F90" s="188"/>
      <c r="G90" s="189"/>
      <c r="H90" s="188"/>
      <c r="I90" s="188"/>
      <c r="J90" s="188"/>
      <c r="K90" s="188"/>
      <c r="L90" s="189"/>
      <c r="M90" s="185"/>
      <c r="N90" s="186"/>
      <c r="O90" s="186"/>
      <c r="P90" s="186"/>
      <c r="Q90" s="590"/>
      <c r="R90" s="591"/>
      <c r="S90" s="591"/>
      <c r="T90" s="591"/>
      <c r="U90" s="591"/>
      <c r="V90" s="591"/>
      <c r="W90" s="591"/>
      <c r="X90" s="591"/>
      <c r="Y90" s="592"/>
    </row>
    <row r="91" spans="1:25" s="27" customFormat="1" ht="20.100000000000001" customHeight="1" x14ac:dyDescent="0.25">
      <c r="A91" s="550"/>
      <c r="B91" s="548"/>
      <c r="C91" s="585" t="s">
        <v>165</v>
      </c>
      <c r="D91" s="586"/>
      <c r="E91" s="195"/>
      <c r="F91" s="195"/>
      <c r="G91" s="191"/>
      <c r="H91" s="585" t="s">
        <v>165</v>
      </c>
      <c r="I91" s="586"/>
      <c r="J91" s="195"/>
      <c r="K91" s="195"/>
      <c r="L91" s="191"/>
      <c r="M91" s="597" t="s">
        <v>271</v>
      </c>
      <c r="N91" s="598"/>
      <c r="O91" s="598"/>
      <c r="P91" s="599"/>
      <c r="Q91" s="597"/>
      <c r="R91" s="598"/>
      <c r="S91" s="598"/>
      <c r="T91" s="598"/>
      <c r="U91" s="598"/>
      <c r="V91" s="598"/>
      <c r="W91" s="598"/>
      <c r="X91" s="598"/>
      <c r="Y91" s="599"/>
    </row>
    <row r="92" spans="1:25" ht="9.9499999999999993" customHeight="1" x14ac:dyDescent="0.25">
      <c r="A92" s="551"/>
      <c r="B92" s="548"/>
      <c r="C92" s="183"/>
      <c r="D92" s="183"/>
      <c r="E92" s="183"/>
      <c r="F92" s="183"/>
      <c r="G92" s="190"/>
      <c r="H92" s="183"/>
      <c r="I92" s="183"/>
      <c r="J92" s="183"/>
      <c r="K92" s="183"/>
      <c r="L92" s="190"/>
      <c r="M92" s="187"/>
      <c r="N92" s="184"/>
      <c r="O92" s="184"/>
      <c r="P92" s="184"/>
      <c r="Q92" s="593"/>
      <c r="R92" s="594"/>
      <c r="S92" s="594"/>
      <c r="T92" s="594"/>
      <c r="U92" s="594"/>
      <c r="V92" s="594"/>
      <c r="W92" s="594"/>
      <c r="X92" s="594"/>
      <c r="Y92" s="595"/>
    </row>
    <row r="93" spans="1:25" ht="9.9499999999999993" customHeight="1" x14ac:dyDescent="0.25">
      <c r="A93" s="549">
        <f t="shared" si="8"/>
        <v>29</v>
      </c>
      <c r="B93" s="548"/>
      <c r="C93" s="188"/>
      <c r="D93" s="188"/>
      <c r="E93" s="188"/>
      <c r="F93" s="188"/>
      <c r="G93" s="189"/>
      <c r="H93" s="188"/>
      <c r="I93" s="188"/>
      <c r="J93" s="188"/>
      <c r="K93" s="188"/>
      <c r="L93" s="189"/>
      <c r="M93" s="185"/>
      <c r="N93" s="186"/>
      <c r="O93" s="186"/>
      <c r="P93" s="186"/>
      <c r="Q93" s="590"/>
      <c r="R93" s="591"/>
      <c r="S93" s="591"/>
      <c r="T93" s="591"/>
      <c r="U93" s="591"/>
      <c r="V93" s="591"/>
      <c r="W93" s="591"/>
      <c r="X93" s="591"/>
      <c r="Y93" s="592"/>
    </row>
    <row r="94" spans="1:25" s="27" customFormat="1" ht="20.100000000000001" customHeight="1" x14ac:dyDescent="0.25">
      <c r="A94" s="550"/>
      <c r="B94" s="548"/>
      <c r="C94" s="585" t="s">
        <v>165</v>
      </c>
      <c r="D94" s="586"/>
      <c r="E94" s="195"/>
      <c r="F94" s="195"/>
      <c r="G94" s="191"/>
      <c r="H94" s="585" t="s">
        <v>165</v>
      </c>
      <c r="I94" s="586"/>
      <c r="J94" s="195"/>
      <c r="K94" s="195"/>
      <c r="L94" s="191"/>
      <c r="M94" s="597" t="s">
        <v>271</v>
      </c>
      <c r="N94" s="598"/>
      <c r="O94" s="598"/>
      <c r="P94" s="599"/>
      <c r="Q94" s="597"/>
      <c r="R94" s="598"/>
      <c r="S94" s="598"/>
      <c r="T94" s="598"/>
      <c r="U94" s="598"/>
      <c r="V94" s="598"/>
      <c r="W94" s="598"/>
      <c r="X94" s="598"/>
      <c r="Y94" s="599"/>
    </row>
    <row r="95" spans="1:25" ht="9.9499999999999993" customHeight="1" x14ac:dyDescent="0.25">
      <c r="A95" s="551"/>
      <c r="B95" s="548"/>
      <c r="C95" s="183"/>
      <c r="D95" s="183"/>
      <c r="E95" s="183"/>
      <c r="F95" s="183"/>
      <c r="G95" s="190"/>
      <c r="H95" s="183"/>
      <c r="I95" s="183"/>
      <c r="J95" s="183"/>
      <c r="K95" s="183"/>
      <c r="L95" s="190"/>
      <c r="M95" s="187"/>
      <c r="N95" s="184"/>
      <c r="O95" s="184"/>
      <c r="P95" s="184"/>
      <c r="Q95" s="593"/>
      <c r="R95" s="594"/>
      <c r="S95" s="594"/>
      <c r="T95" s="594"/>
      <c r="U95" s="594"/>
      <c r="V95" s="594"/>
      <c r="W95" s="594"/>
      <c r="X95" s="594"/>
      <c r="Y95" s="595"/>
    </row>
    <row r="96" spans="1:25" ht="9.9499999999999993" customHeight="1" x14ac:dyDescent="0.25">
      <c r="A96" s="549">
        <f t="shared" si="8"/>
        <v>30</v>
      </c>
      <c r="B96" s="548"/>
      <c r="C96" s="188"/>
      <c r="D96" s="188"/>
      <c r="E96" s="188"/>
      <c r="F96" s="188"/>
      <c r="G96" s="189"/>
      <c r="H96" s="188"/>
      <c r="I96" s="188"/>
      <c r="J96" s="188"/>
      <c r="K96" s="188"/>
      <c r="L96" s="189"/>
      <c r="M96" s="185"/>
      <c r="N96" s="186"/>
      <c r="O96" s="186"/>
      <c r="P96" s="186"/>
      <c r="Q96" s="590"/>
      <c r="R96" s="591"/>
      <c r="S96" s="591"/>
      <c r="T96" s="591"/>
      <c r="U96" s="591"/>
      <c r="V96" s="591"/>
      <c r="W96" s="591"/>
      <c r="X96" s="591"/>
      <c r="Y96" s="592"/>
    </row>
    <row r="97" spans="1:25" s="27" customFormat="1" ht="20.100000000000001" customHeight="1" x14ac:dyDescent="0.25">
      <c r="A97" s="550"/>
      <c r="B97" s="548"/>
      <c r="C97" s="585" t="s">
        <v>165</v>
      </c>
      <c r="D97" s="586"/>
      <c r="E97" s="195"/>
      <c r="F97" s="195"/>
      <c r="G97" s="191"/>
      <c r="H97" s="585" t="s">
        <v>165</v>
      </c>
      <c r="I97" s="586"/>
      <c r="J97" s="195"/>
      <c r="K97" s="195"/>
      <c r="L97" s="191"/>
      <c r="M97" s="597" t="s">
        <v>271</v>
      </c>
      <c r="N97" s="598"/>
      <c r="O97" s="598"/>
      <c r="P97" s="599"/>
      <c r="Q97" s="597"/>
      <c r="R97" s="598"/>
      <c r="S97" s="598"/>
      <c r="T97" s="598"/>
      <c r="U97" s="598"/>
      <c r="V97" s="598"/>
      <c r="W97" s="598"/>
      <c r="X97" s="598"/>
      <c r="Y97" s="599"/>
    </row>
    <row r="98" spans="1:25" ht="9.9499999999999993" customHeight="1" x14ac:dyDescent="0.25">
      <c r="A98" s="551"/>
      <c r="B98" s="548"/>
      <c r="C98" s="183"/>
      <c r="D98" s="183"/>
      <c r="E98" s="183"/>
      <c r="F98" s="183"/>
      <c r="G98" s="190"/>
      <c r="H98" s="183"/>
      <c r="I98" s="183"/>
      <c r="J98" s="183"/>
      <c r="K98" s="183"/>
      <c r="L98" s="190"/>
      <c r="M98" s="187"/>
      <c r="N98" s="184"/>
      <c r="O98" s="184"/>
      <c r="P98" s="184"/>
      <c r="Q98" s="593"/>
      <c r="R98" s="594"/>
      <c r="S98" s="594"/>
      <c r="T98" s="594"/>
      <c r="U98" s="594"/>
      <c r="V98" s="594"/>
      <c r="W98" s="594"/>
      <c r="X98" s="594"/>
      <c r="Y98" s="595"/>
    </row>
    <row r="99" spans="1:25" ht="9.9499999999999993" customHeight="1" x14ac:dyDescent="0.25">
      <c r="A99" s="549">
        <f t="shared" ref="A99:A126" si="9">1+A96</f>
        <v>31</v>
      </c>
      <c r="B99" s="548"/>
      <c r="C99" s="188"/>
      <c r="D99" s="188"/>
      <c r="E99" s="188"/>
      <c r="F99" s="188"/>
      <c r="G99" s="189"/>
      <c r="H99" s="188"/>
      <c r="I99" s="188"/>
      <c r="J99" s="188"/>
      <c r="K99" s="188"/>
      <c r="L99" s="189"/>
      <c r="M99" s="185"/>
      <c r="N99" s="186"/>
      <c r="O99" s="186"/>
      <c r="P99" s="186"/>
      <c r="Q99" s="590"/>
      <c r="R99" s="591"/>
      <c r="S99" s="591"/>
      <c r="T99" s="591"/>
      <c r="U99" s="591"/>
      <c r="V99" s="591"/>
      <c r="W99" s="591"/>
      <c r="X99" s="591"/>
      <c r="Y99" s="592"/>
    </row>
    <row r="100" spans="1:25" s="27" customFormat="1" ht="20.100000000000001" customHeight="1" x14ac:dyDescent="0.25">
      <c r="A100" s="550"/>
      <c r="B100" s="548"/>
      <c r="C100" s="585" t="s">
        <v>165</v>
      </c>
      <c r="D100" s="586"/>
      <c r="E100" s="195"/>
      <c r="F100" s="195"/>
      <c r="G100" s="191"/>
      <c r="H100" s="585" t="s">
        <v>165</v>
      </c>
      <c r="I100" s="586"/>
      <c r="J100" s="195"/>
      <c r="K100" s="195"/>
      <c r="L100" s="191"/>
      <c r="M100" s="597" t="s">
        <v>271</v>
      </c>
      <c r="N100" s="598"/>
      <c r="O100" s="598"/>
      <c r="P100" s="599"/>
      <c r="Q100" s="597"/>
      <c r="R100" s="598"/>
      <c r="S100" s="598"/>
      <c r="T100" s="598"/>
      <c r="U100" s="598"/>
      <c r="V100" s="598"/>
      <c r="W100" s="598"/>
      <c r="X100" s="598"/>
      <c r="Y100" s="599"/>
    </row>
    <row r="101" spans="1:25" ht="9.9499999999999993" customHeight="1" x14ac:dyDescent="0.25">
      <c r="A101" s="551"/>
      <c r="B101" s="548"/>
      <c r="C101" s="183"/>
      <c r="D101" s="183"/>
      <c r="E101" s="183"/>
      <c r="F101" s="183"/>
      <c r="G101" s="190"/>
      <c r="H101" s="183"/>
      <c r="I101" s="183"/>
      <c r="J101" s="183"/>
      <c r="K101" s="183"/>
      <c r="L101" s="190"/>
      <c r="M101" s="187"/>
      <c r="N101" s="184"/>
      <c r="O101" s="184"/>
      <c r="P101" s="184"/>
      <c r="Q101" s="593"/>
      <c r="R101" s="594"/>
      <c r="S101" s="594"/>
      <c r="T101" s="594"/>
      <c r="U101" s="594"/>
      <c r="V101" s="594"/>
      <c r="W101" s="594"/>
      <c r="X101" s="594"/>
      <c r="Y101" s="595"/>
    </row>
    <row r="102" spans="1:25" ht="9.9499999999999993" customHeight="1" x14ac:dyDescent="0.25">
      <c r="A102" s="549">
        <f t="shared" si="9"/>
        <v>32</v>
      </c>
      <c r="B102" s="548"/>
      <c r="C102" s="188"/>
      <c r="D102" s="188"/>
      <c r="E102" s="188"/>
      <c r="F102" s="188"/>
      <c r="G102" s="189"/>
      <c r="H102" s="188"/>
      <c r="I102" s="188"/>
      <c r="J102" s="188"/>
      <c r="K102" s="188"/>
      <c r="L102" s="189"/>
      <c r="M102" s="185"/>
      <c r="N102" s="186"/>
      <c r="O102" s="186"/>
      <c r="P102" s="186"/>
      <c r="Q102" s="590"/>
      <c r="R102" s="591"/>
      <c r="S102" s="591"/>
      <c r="T102" s="591"/>
      <c r="U102" s="591"/>
      <c r="V102" s="591"/>
      <c r="W102" s="591"/>
      <c r="X102" s="591"/>
      <c r="Y102" s="592"/>
    </row>
    <row r="103" spans="1:25" s="27" customFormat="1" ht="20.100000000000001" customHeight="1" x14ac:dyDescent="0.25">
      <c r="A103" s="550"/>
      <c r="B103" s="548"/>
      <c r="C103" s="585" t="s">
        <v>165</v>
      </c>
      <c r="D103" s="586"/>
      <c r="E103" s="195"/>
      <c r="F103" s="195"/>
      <c r="G103" s="191"/>
      <c r="H103" s="585" t="s">
        <v>165</v>
      </c>
      <c r="I103" s="586"/>
      <c r="J103" s="195"/>
      <c r="K103" s="195"/>
      <c r="L103" s="191"/>
      <c r="M103" s="597" t="s">
        <v>271</v>
      </c>
      <c r="N103" s="598"/>
      <c r="O103" s="598"/>
      <c r="P103" s="599"/>
      <c r="Q103" s="597"/>
      <c r="R103" s="598"/>
      <c r="S103" s="598"/>
      <c r="T103" s="598"/>
      <c r="U103" s="598"/>
      <c r="V103" s="598"/>
      <c r="W103" s="598"/>
      <c r="X103" s="598"/>
      <c r="Y103" s="599"/>
    </row>
    <row r="104" spans="1:25" ht="9.9499999999999993" customHeight="1" x14ac:dyDescent="0.25">
      <c r="A104" s="551"/>
      <c r="B104" s="548"/>
      <c r="C104" s="183"/>
      <c r="D104" s="183"/>
      <c r="E104" s="183"/>
      <c r="F104" s="183"/>
      <c r="G104" s="190"/>
      <c r="H104" s="183"/>
      <c r="I104" s="183"/>
      <c r="J104" s="183"/>
      <c r="K104" s="183"/>
      <c r="L104" s="190"/>
      <c r="M104" s="187"/>
      <c r="N104" s="184"/>
      <c r="O104" s="184"/>
      <c r="P104" s="184"/>
      <c r="Q104" s="593"/>
      <c r="R104" s="594"/>
      <c r="S104" s="594"/>
      <c r="T104" s="594"/>
      <c r="U104" s="594"/>
      <c r="V104" s="594"/>
      <c r="W104" s="594"/>
      <c r="X104" s="594"/>
      <c r="Y104" s="595"/>
    </row>
    <row r="105" spans="1:25" ht="9.9499999999999993" customHeight="1" x14ac:dyDescent="0.25">
      <c r="A105" s="549">
        <f t="shared" si="9"/>
        <v>33</v>
      </c>
      <c r="B105" s="548"/>
      <c r="C105" s="188"/>
      <c r="D105" s="188"/>
      <c r="E105" s="188"/>
      <c r="F105" s="188"/>
      <c r="G105" s="189"/>
      <c r="H105" s="188"/>
      <c r="I105" s="188"/>
      <c r="J105" s="188"/>
      <c r="K105" s="188"/>
      <c r="L105" s="189"/>
      <c r="M105" s="185"/>
      <c r="N105" s="186"/>
      <c r="O105" s="186"/>
      <c r="P105" s="186"/>
      <c r="Q105" s="590"/>
      <c r="R105" s="591"/>
      <c r="S105" s="591"/>
      <c r="T105" s="591"/>
      <c r="U105" s="591"/>
      <c r="V105" s="591"/>
      <c r="W105" s="591"/>
      <c r="X105" s="591"/>
      <c r="Y105" s="592"/>
    </row>
    <row r="106" spans="1:25" s="27" customFormat="1" ht="20.100000000000001" customHeight="1" x14ac:dyDescent="0.25">
      <c r="A106" s="550"/>
      <c r="B106" s="548"/>
      <c r="C106" s="585" t="s">
        <v>165</v>
      </c>
      <c r="D106" s="586"/>
      <c r="E106" s="195"/>
      <c r="F106" s="195"/>
      <c r="G106" s="191"/>
      <c r="H106" s="585" t="s">
        <v>165</v>
      </c>
      <c r="I106" s="586"/>
      <c r="J106" s="195"/>
      <c r="K106" s="195"/>
      <c r="L106" s="191"/>
      <c r="M106" s="597" t="s">
        <v>271</v>
      </c>
      <c r="N106" s="598"/>
      <c r="O106" s="598"/>
      <c r="P106" s="599"/>
      <c r="Q106" s="597"/>
      <c r="R106" s="598"/>
      <c r="S106" s="598"/>
      <c r="T106" s="598"/>
      <c r="U106" s="598"/>
      <c r="V106" s="598"/>
      <c r="W106" s="598"/>
      <c r="X106" s="598"/>
      <c r="Y106" s="599"/>
    </row>
    <row r="107" spans="1:25" ht="9.9499999999999993" customHeight="1" x14ac:dyDescent="0.25">
      <c r="A107" s="551"/>
      <c r="B107" s="548"/>
      <c r="C107" s="183"/>
      <c r="D107" s="183"/>
      <c r="E107" s="183"/>
      <c r="F107" s="183"/>
      <c r="G107" s="190"/>
      <c r="H107" s="183"/>
      <c r="I107" s="183"/>
      <c r="J107" s="183"/>
      <c r="K107" s="183"/>
      <c r="L107" s="190"/>
      <c r="M107" s="187"/>
      <c r="N107" s="184"/>
      <c r="O107" s="184"/>
      <c r="P107" s="184"/>
      <c r="Q107" s="593"/>
      <c r="R107" s="594"/>
      <c r="S107" s="594"/>
      <c r="T107" s="594"/>
      <c r="U107" s="594"/>
      <c r="V107" s="594"/>
      <c r="W107" s="594"/>
      <c r="X107" s="594"/>
      <c r="Y107" s="595"/>
    </row>
    <row r="108" spans="1:25" ht="9.9499999999999993" customHeight="1" x14ac:dyDescent="0.25">
      <c r="A108" s="549">
        <f t="shared" si="9"/>
        <v>34</v>
      </c>
      <c r="B108" s="548"/>
      <c r="C108" s="188"/>
      <c r="D108" s="188"/>
      <c r="E108" s="188"/>
      <c r="F108" s="188"/>
      <c r="G108" s="189"/>
      <c r="H108" s="188"/>
      <c r="I108" s="188"/>
      <c r="J108" s="188"/>
      <c r="K108" s="188"/>
      <c r="L108" s="189"/>
      <c r="M108" s="185"/>
      <c r="N108" s="186"/>
      <c r="O108" s="186"/>
      <c r="P108" s="186"/>
      <c r="Q108" s="590"/>
      <c r="R108" s="591"/>
      <c r="S108" s="591"/>
      <c r="T108" s="591"/>
      <c r="U108" s="591"/>
      <c r="V108" s="591"/>
      <c r="W108" s="591"/>
      <c r="X108" s="591"/>
      <c r="Y108" s="592"/>
    </row>
    <row r="109" spans="1:25" s="27" customFormat="1" ht="20.100000000000001" customHeight="1" x14ac:dyDescent="0.25">
      <c r="A109" s="550"/>
      <c r="B109" s="548"/>
      <c r="C109" s="585" t="s">
        <v>165</v>
      </c>
      <c r="D109" s="586"/>
      <c r="E109" s="195"/>
      <c r="F109" s="195"/>
      <c r="G109" s="191"/>
      <c r="H109" s="585" t="s">
        <v>165</v>
      </c>
      <c r="I109" s="586"/>
      <c r="J109" s="195"/>
      <c r="K109" s="195"/>
      <c r="L109" s="191"/>
      <c r="M109" s="597" t="s">
        <v>271</v>
      </c>
      <c r="N109" s="598"/>
      <c r="O109" s="598"/>
      <c r="P109" s="599"/>
      <c r="Q109" s="597"/>
      <c r="R109" s="598"/>
      <c r="S109" s="598"/>
      <c r="T109" s="598"/>
      <c r="U109" s="598"/>
      <c r="V109" s="598"/>
      <c r="W109" s="598"/>
      <c r="X109" s="598"/>
      <c r="Y109" s="599"/>
    </row>
    <row r="110" spans="1:25" ht="9.9499999999999993" customHeight="1" x14ac:dyDescent="0.25">
      <c r="A110" s="551"/>
      <c r="B110" s="548"/>
      <c r="C110" s="183"/>
      <c r="D110" s="183"/>
      <c r="E110" s="183"/>
      <c r="F110" s="183"/>
      <c r="G110" s="190"/>
      <c r="H110" s="183"/>
      <c r="I110" s="183"/>
      <c r="J110" s="183"/>
      <c r="K110" s="183"/>
      <c r="L110" s="190"/>
      <c r="M110" s="187"/>
      <c r="N110" s="184"/>
      <c r="O110" s="184"/>
      <c r="P110" s="184"/>
      <c r="Q110" s="593"/>
      <c r="R110" s="594"/>
      <c r="S110" s="594"/>
      <c r="T110" s="594"/>
      <c r="U110" s="594"/>
      <c r="V110" s="594"/>
      <c r="W110" s="594"/>
      <c r="X110" s="594"/>
      <c r="Y110" s="595"/>
    </row>
    <row r="111" spans="1:25" ht="9.9499999999999993" customHeight="1" x14ac:dyDescent="0.25">
      <c r="A111" s="549">
        <f t="shared" si="9"/>
        <v>35</v>
      </c>
      <c r="B111" s="548"/>
      <c r="C111" s="188"/>
      <c r="D111" s="188"/>
      <c r="E111" s="188"/>
      <c r="F111" s="188"/>
      <c r="G111" s="189"/>
      <c r="H111" s="188"/>
      <c r="I111" s="188"/>
      <c r="J111" s="188"/>
      <c r="K111" s="188"/>
      <c r="L111" s="189"/>
      <c r="M111" s="185"/>
      <c r="N111" s="186"/>
      <c r="O111" s="186"/>
      <c r="P111" s="186"/>
      <c r="Q111" s="590"/>
      <c r="R111" s="591"/>
      <c r="S111" s="591"/>
      <c r="T111" s="591"/>
      <c r="U111" s="591"/>
      <c r="V111" s="591"/>
      <c r="W111" s="591"/>
      <c r="X111" s="591"/>
      <c r="Y111" s="592"/>
    </row>
    <row r="112" spans="1:25" s="27" customFormat="1" ht="20.100000000000001" customHeight="1" x14ac:dyDescent="0.25">
      <c r="A112" s="550"/>
      <c r="B112" s="548"/>
      <c r="C112" s="585" t="s">
        <v>165</v>
      </c>
      <c r="D112" s="586"/>
      <c r="E112" s="195"/>
      <c r="F112" s="195"/>
      <c r="G112" s="191"/>
      <c r="H112" s="585" t="s">
        <v>165</v>
      </c>
      <c r="I112" s="586"/>
      <c r="J112" s="195"/>
      <c r="K112" s="195"/>
      <c r="L112" s="191"/>
      <c r="M112" s="597" t="s">
        <v>271</v>
      </c>
      <c r="N112" s="598"/>
      <c r="O112" s="598"/>
      <c r="P112" s="599"/>
      <c r="Q112" s="597"/>
      <c r="R112" s="598"/>
      <c r="S112" s="598"/>
      <c r="T112" s="598"/>
      <c r="U112" s="598"/>
      <c r="V112" s="598"/>
      <c r="W112" s="598"/>
      <c r="X112" s="598"/>
      <c r="Y112" s="599"/>
    </row>
    <row r="113" spans="1:25" ht="9.9499999999999993" customHeight="1" x14ac:dyDescent="0.25">
      <c r="A113" s="551"/>
      <c r="B113" s="548"/>
      <c r="C113" s="183"/>
      <c r="D113" s="183"/>
      <c r="E113" s="183"/>
      <c r="F113" s="183"/>
      <c r="G113" s="190"/>
      <c r="H113" s="183"/>
      <c r="I113" s="183"/>
      <c r="J113" s="183"/>
      <c r="K113" s="183"/>
      <c r="L113" s="190"/>
      <c r="M113" s="187"/>
      <c r="N113" s="184"/>
      <c r="O113" s="184"/>
      <c r="P113" s="184"/>
      <c r="Q113" s="593"/>
      <c r="R113" s="594"/>
      <c r="S113" s="594"/>
      <c r="T113" s="594"/>
      <c r="U113" s="594"/>
      <c r="V113" s="594"/>
      <c r="W113" s="594"/>
      <c r="X113" s="594"/>
      <c r="Y113" s="595"/>
    </row>
    <row r="114" spans="1:25" ht="9.9499999999999993" customHeight="1" x14ac:dyDescent="0.25">
      <c r="A114" s="549">
        <f t="shared" si="9"/>
        <v>36</v>
      </c>
      <c r="B114" s="548"/>
      <c r="C114" s="188"/>
      <c r="D114" s="188"/>
      <c r="E114" s="188"/>
      <c r="F114" s="188"/>
      <c r="G114" s="189"/>
      <c r="H114" s="188"/>
      <c r="I114" s="188"/>
      <c r="J114" s="188"/>
      <c r="K114" s="188"/>
      <c r="L114" s="189"/>
      <c r="M114" s="185"/>
      <c r="N114" s="186"/>
      <c r="O114" s="186"/>
      <c r="P114" s="186"/>
      <c r="Q114" s="590"/>
      <c r="R114" s="591"/>
      <c r="S114" s="591"/>
      <c r="T114" s="591"/>
      <c r="U114" s="591"/>
      <c r="V114" s="591"/>
      <c r="W114" s="591"/>
      <c r="X114" s="591"/>
      <c r="Y114" s="592"/>
    </row>
    <row r="115" spans="1:25" s="27" customFormat="1" ht="20.100000000000001" customHeight="1" x14ac:dyDescent="0.25">
      <c r="A115" s="550"/>
      <c r="B115" s="548"/>
      <c r="C115" s="585" t="s">
        <v>165</v>
      </c>
      <c r="D115" s="586"/>
      <c r="E115" s="195"/>
      <c r="F115" s="195"/>
      <c r="G115" s="191"/>
      <c r="H115" s="585" t="s">
        <v>165</v>
      </c>
      <c r="I115" s="586"/>
      <c r="J115" s="195"/>
      <c r="K115" s="195"/>
      <c r="L115" s="191"/>
      <c r="M115" s="597" t="s">
        <v>271</v>
      </c>
      <c r="N115" s="598"/>
      <c r="O115" s="598"/>
      <c r="P115" s="599"/>
      <c r="Q115" s="597"/>
      <c r="R115" s="598"/>
      <c r="S115" s="598"/>
      <c r="T115" s="598"/>
      <c r="U115" s="598"/>
      <c r="V115" s="598"/>
      <c r="W115" s="598"/>
      <c r="X115" s="598"/>
      <c r="Y115" s="599"/>
    </row>
    <row r="116" spans="1:25" ht="9.9499999999999993" customHeight="1" x14ac:dyDescent="0.25">
      <c r="A116" s="551"/>
      <c r="B116" s="548"/>
      <c r="C116" s="183"/>
      <c r="D116" s="183"/>
      <c r="E116" s="183"/>
      <c r="F116" s="183"/>
      <c r="G116" s="190"/>
      <c r="H116" s="183"/>
      <c r="I116" s="183"/>
      <c r="J116" s="183"/>
      <c r="K116" s="183"/>
      <c r="L116" s="190"/>
      <c r="M116" s="187"/>
      <c r="N116" s="184"/>
      <c r="O116" s="184"/>
      <c r="P116" s="184"/>
      <c r="Q116" s="593"/>
      <c r="R116" s="594"/>
      <c r="S116" s="594"/>
      <c r="T116" s="594"/>
      <c r="U116" s="594"/>
      <c r="V116" s="594"/>
      <c r="W116" s="594"/>
      <c r="X116" s="594"/>
      <c r="Y116" s="595"/>
    </row>
    <row r="117" spans="1:25" ht="9.9499999999999993" customHeight="1" x14ac:dyDescent="0.25">
      <c r="A117" s="549">
        <f t="shared" si="9"/>
        <v>37</v>
      </c>
      <c r="B117" s="548"/>
      <c r="C117" s="188"/>
      <c r="D117" s="188"/>
      <c r="E117" s="188"/>
      <c r="F117" s="188"/>
      <c r="G117" s="189"/>
      <c r="H117" s="188"/>
      <c r="I117" s="188"/>
      <c r="J117" s="188"/>
      <c r="K117" s="188"/>
      <c r="L117" s="189"/>
      <c r="M117" s="185"/>
      <c r="N117" s="186"/>
      <c r="O117" s="186"/>
      <c r="P117" s="186"/>
      <c r="Q117" s="590"/>
      <c r="R117" s="591"/>
      <c r="S117" s="591"/>
      <c r="T117" s="591"/>
      <c r="U117" s="591"/>
      <c r="V117" s="591"/>
      <c r="W117" s="591"/>
      <c r="X117" s="591"/>
      <c r="Y117" s="592"/>
    </row>
    <row r="118" spans="1:25" s="27" customFormat="1" ht="20.100000000000001" customHeight="1" x14ac:dyDescent="0.25">
      <c r="A118" s="550"/>
      <c r="B118" s="548"/>
      <c r="C118" s="585" t="s">
        <v>165</v>
      </c>
      <c r="D118" s="586"/>
      <c r="E118" s="195"/>
      <c r="F118" s="195"/>
      <c r="G118" s="191"/>
      <c r="H118" s="585" t="s">
        <v>165</v>
      </c>
      <c r="I118" s="586"/>
      <c r="J118" s="195"/>
      <c r="K118" s="195"/>
      <c r="L118" s="191"/>
      <c r="M118" s="597" t="s">
        <v>271</v>
      </c>
      <c r="N118" s="598"/>
      <c r="O118" s="598"/>
      <c r="P118" s="599"/>
      <c r="Q118" s="597"/>
      <c r="R118" s="598"/>
      <c r="S118" s="598"/>
      <c r="T118" s="598"/>
      <c r="U118" s="598"/>
      <c r="V118" s="598"/>
      <c r="W118" s="598"/>
      <c r="X118" s="598"/>
      <c r="Y118" s="599"/>
    </row>
    <row r="119" spans="1:25" ht="9.9499999999999993" customHeight="1" x14ac:dyDescent="0.25">
      <c r="A119" s="551"/>
      <c r="B119" s="548"/>
      <c r="C119" s="183"/>
      <c r="D119" s="183"/>
      <c r="E119" s="183"/>
      <c r="F119" s="183"/>
      <c r="G119" s="190"/>
      <c r="H119" s="183"/>
      <c r="I119" s="183"/>
      <c r="J119" s="183"/>
      <c r="K119" s="183"/>
      <c r="L119" s="190"/>
      <c r="M119" s="187"/>
      <c r="N119" s="184"/>
      <c r="O119" s="184"/>
      <c r="P119" s="184"/>
      <c r="Q119" s="593"/>
      <c r="R119" s="594"/>
      <c r="S119" s="594"/>
      <c r="T119" s="594"/>
      <c r="U119" s="594"/>
      <c r="V119" s="594"/>
      <c r="W119" s="594"/>
      <c r="X119" s="594"/>
      <c r="Y119" s="595"/>
    </row>
    <row r="120" spans="1:25" ht="9.9499999999999993" customHeight="1" x14ac:dyDescent="0.25">
      <c r="A120" s="549">
        <f t="shared" si="9"/>
        <v>38</v>
      </c>
      <c r="B120" s="548"/>
      <c r="C120" s="188"/>
      <c r="D120" s="188"/>
      <c r="E120" s="188"/>
      <c r="F120" s="188"/>
      <c r="G120" s="189"/>
      <c r="H120" s="188"/>
      <c r="I120" s="188"/>
      <c r="J120" s="188"/>
      <c r="K120" s="188"/>
      <c r="L120" s="189"/>
      <c r="M120" s="185"/>
      <c r="N120" s="186"/>
      <c r="O120" s="186"/>
      <c r="P120" s="186"/>
      <c r="Q120" s="590"/>
      <c r="R120" s="591"/>
      <c r="S120" s="591"/>
      <c r="T120" s="591"/>
      <c r="U120" s="591"/>
      <c r="V120" s="591"/>
      <c r="W120" s="591"/>
      <c r="X120" s="591"/>
      <c r="Y120" s="592"/>
    </row>
    <row r="121" spans="1:25" s="27" customFormat="1" ht="20.100000000000001" customHeight="1" x14ac:dyDescent="0.25">
      <c r="A121" s="550"/>
      <c r="B121" s="548"/>
      <c r="C121" s="585" t="s">
        <v>165</v>
      </c>
      <c r="D121" s="586"/>
      <c r="E121" s="195"/>
      <c r="F121" s="195"/>
      <c r="G121" s="191"/>
      <c r="H121" s="585" t="s">
        <v>165</v>
      </c>
      <c r="I121" s="586"/>
      <c r="J121" s="195"/>
      <c r="K121" s="195"/>
      <c r="L121" s="191"/>
      <c r="M121" s="597" t="s">
        <v>271</v>
      </c>
      <c r="N121" s="598"/>
      <c r="O121" s="598"/>
      <c r="P121" s="599"/>
      <c r="Q121" s="597"/>
      <c r="R121" s="598"/>
      <c r="S121" s="598"/>
      <c r="T121" s="598"/>
      <c r="U121" s="598"/>
      <c r="V121" s="598"/>
      <c r="W121" s="598"/>
      <c r="X121" s="598"/>
      <c r="Y121" s="599"/>
    </row>
    <row r="122" spans="1:25" ht="9.9499999999999993" customHeight="1" x14ac:dyDescent="0.25">
      <c r="A122" s="551"/>
      <c r="B122" s="548"/>
      <c r="C122" s="183"/>
      <c r="D122" s="183"/>
      <c r="E122" s="183"/>
      <c r="F122" s="183"/>
      <c r="G122" s="190"/>
      <c r="H122" s="183"/>
      <c r="I122" s="183"/>
      <c r="J122" s="183"/>
      <c r="K122" s="183"/>
      <c r="L122" s="190"/>
      <c r="M122" s="187"/>
      <c r="N122" s="184"/>
      <c r="O122" s="184"/>
      <c r="P122" s="184"/>
      <c r="Q122" s="593"/>
      <c r="R122" s="594"/>
      <c r="S122" s="594"/>
      <c r="T122" s="594"/>
      <c r="U122" s="594"/>
      <c r="V122" s="594"/>
      <c r="W122" s="594"/>
      <c r="X122" s="594"/>
      <c r="Y122" s="595"/>
    </row>
    <row r="123" spans="1:25" ht="9.9499999999999993" customHeight="1" x14ac:dyDescent="0.25">
      <c r="A123" s="549">
        <f t="shared" si="9"/>
        <v>39</v>
      </c>
      <c r="B123" s="548"/>
      <c r="C123" s="188"/>
      <c r="D123" s="188"/>
      <c r="E123" s="188"/>
      <c r="F123" s="188"/>
      <c r="G123" s="189"/>
      <c r="H123" s="188"/>
      <c r="I123" s="188"/>
      <c r="J123" s="188"/>
      <c r="K123" s="188"/>
      <c r="L123" s="189"/>
      <c r="M123" s="185"/>
      <c r="N123" s="186"/>
      <c r="O123" s="186"/>
      <c r="P123" s="186"/>
      <c r="Q123" s="590"/>
      <c r="R123" s="591"/>
      <c r="S123" s="591"/>
      <c r="T123" s="591"/>
      <c r="U123" s="591"/>
      <c r="V123" s="591"/>
      <c r="W123" s="591"/>
      <c r="X123" s="591"/>
      <c r="Y123" s="592"/>
    </row>
    <row r="124" spans="1:25" s="27" customFormat="1" ht="20.100000000000001" customHeight="1" x14ac:dyDescent="0.25">
      <c r="A124" s="550"/>
      <c r="B124" s="548"/>
      <c r="C124" s="585" t="s">
        <v>165</v>
      </c>
      <c r="D124" s="586"/>
      <c r="E124" s="195"/>
      <c r="F124" s="195"/>
      <c r="G124" s="191"/>
      <c r="H124" s="585" t="s">
        <v>165</v>
      </c>
      <c r="I124" s="586"/>
      <c r="J124" s="195"/>
      <c r="K124" s="195"/>
      <c r="L124" s="191"/>
      <c r="M124" s="597" t="s">
        <v>271</v>
      </c>
      <c r="N124" s="598"/>
      <c r="O124" s="598"/>
      <c r="P124" s="599"/>
      <c r="Q124" s="597"/>
      <c r="R124" s="598"/>
      <c r="S124" s="598"/>
      <c r="T124" s="598"/>
      <c r="U124" s="598"/>
      <c r="V124" s="598"/>
      <c r="W124" s="598"/>
      <c r="X124" s="598"/>
      <c r="Y124" s="599"/>
    </row>
    <row r="125" spans="1:25" ht="9.9499999999999993" customHeight="1" x14ac:dyDescent="0.25">
      <c r="A125" s="551"/>
      <c r="B125" s="548"/>
      <c r="C125" s="183"/>
      <c r="D125" s="183"/>
      <c r="E125" s="183"/>
      <c r="F125" s="183"/>
      <c r="G125" s="190"/>
      <c r="H125" s="183"/>
      <c r="I125" s="183"/>
      <c r="J125" s="183"/>
      <c r="K125" s="183"/>
      <c r="L125" s="190"/>
      <c r="M125" s="187"/>
      <c r="N125" s="184"/>
      <c r="O125" s="184"/>
      <c r="P125" s="184"/>
      <c r="Q125" s="593"/>
      <c r="R125" s="594"/>
      <c r="S125" s="594"/>
      <c r="T125" s="594"/>
      <c r="U125" s="594"/>
      <c r="V125" s="594"/>
      <c r="W125" s="594"/>
      <c r="X125" s="594"/>
      <c r="Y125" s="595"/>
    </row>
    <row r="126" spans="1:25" ht="9.9499999999999993" customHeight="1" x14ac:dyDescent="0.25">
      <c r="A126" s="549">
        <f t="shared" si="9"/>
        <v>40</v>
      </c>
      <c r="B126" s="548"/>
      <c r="C126" s="188"/>
      <c r="D126" s="188"/>
      <c r="E126" s="188"/>
      <c r="F126" s="188"/>
      <c r="G126" s="189"/>
      <c r="H126" s="188"/>
      <c r="I126" s="188"/>
      <c r="J126" s="188"/>
      <c r="K126" s="188"/>
      <c r="L126" s="189"/>
      <c r="M126" s="185"/>
      <c r="N126" s="186"/>
      <c r="O126" s="186"/>
      <c r="P126" s="186"/>
      <c r="Q126" s="590"/>
      <c r="R126" s="591"/>
      <c r="S126" s="591"/>
      <c r="T126" s="591"/>
      <c r="U126" s="591"/>
      <c r="V126" s="591"/>
      <c r="W126" s="591"/>
      <c r="X126" s="591"/>
      <c r="Y126" s="592"/>
    </row>
    <row r="127" spans="1:25" s="27" customFormat="1" ht="20.100000000000001" customHeight="1" x14ac:dyDescent="0.25">
      <c r="A127" s="550"/>
      <c r="B127" s="548"/>
      <c r="C127" s="585" t="s">
        <v>165</v>
      </c>
      <c r="D127" s="586"/>
      <c r="E127" s="195"/>
      <c r="F127" s="195"/>
      <c r="G127" s="191"/>
      <c r="H127" s="585" t="s">
        <v>165</v>
      </c>
      <c r="I127" s="586"/>
      <c r="J127" s="195"/>
      <c r="K127" s="195"/>
      <c r="L127" s="191"/>
      <c r="M127" s="597" t="s">
        <v>271</v>
      </c>
      <c r="N127" s="598"/>
      <c r="O127" s="598"/>
      <c r="P127" s="599"/>
      <c r="Q127" s="597"/>
      <c r="R127" s="598"/>
      <c r="S127" s="598"/>
      <c r="T127" s="598"/>
      <c r="U127" s="598"/>
      <c r="V127" s="598"/>
      <c r="W127" s="598"/>
      <c r="X127" s="598"/>
      <c r="Y127" s="599"/>
    </row>
    <row r="128" spans="1:25" ht="9.9499999999999993" customHeight="1" x14ac:dyDescent="0.25">
      <c r="A128" s="551"/>
      <c r="B128" s="548"/>
      <c r="C128" s="183"/>
      <c r="D128" s="183"/>
      <c r="E128" s="183"/>
      <c r="F128" s="183"/>
      <c r="G128" s="190"/>
      <c r="H128" s="183"/>
      <c r="I128" s="183"/>
      <c r="J128" s="183"/>
      <c r="K128" s="183"/>
      <c r="L128" s="190"/>
      <c r="M128" s="187"/>
      <c r="N128" s="184"/>
      <c r="O128" s="184"/>
      <c r="P128" s="184"/>
      <c r="Q128" s="593"/>
      <c r="R128" s="594"/>
      <c r="S128" s="594"/>
      <c r="T128" s="594"/>
      <c r="U128" s="594"/>
      <c r="V128" s="594"/>
      <c r="W128" s="594"/>
      <c r="X128" s="594"/>
      <c r="Y128" s="595"/>
    </row>
  </sheetData>
  <mergeCells count="266">
    <mergeCell ref="A1:O1"/>
    <mergeCell ref="Q1:Y2"/>
    <mergeCell ref="A2:O2"/>
    <mergeCell ref="A4:B4"/>
    <mergeCell ref="C4:K4"/>
    <mergeCell ref="M4:P4"/>
    <mergeCell ref="Q4:R4"/>
    <mergeCell ref="S4:T4"/>
    <mergeCell ref="U4:V4"/>
    <mergeCell ref="W4:Y4"/>
    <mergeCell ref="W5:Y5"/>
    <mergeCell ref="A7:A8"/>
    <mergeCell ref="B7:B8"/>
    <mergeCell ref="C7:G7"/>
    <mergeCell ref="H7:L7"/>
    <mergeCell ref="C8:G8"/>
    <mergeCell ref="H8:L8"/>
    <mergeCell ref="M7:P7"/>
    <mergeCell ref="M8:P8"/>
    <mergeCell ref="A5:B5"/>
    <mergeCell ref="C5:K5"/>
    <mergeCell ref="M5:P5"/>
    <mergeCell ref="Q5:R5"/>
    <mergeCell ref="S5:T5"/>
    <mergeCell ref="U5:V5"/>
    <mergeCell ref="A15:A17"/>
    <mergeCell ref="B15:B17"/>
    <mergeCell ref="C16:D16"/>
    <mergeCell ref="H16:I16"/>
    <mergeCell ref="A18:A20"/>
    <mergeCell ref="B18:B20"/>
    <mergeCell ref="C19:D19"/>
    <mergeCell ref="H19:I19"/>
    <mergeCell ref="A9:A11"/>
    <mergeCell ref="B9:B11"/>
    <mergeCell ref="C10:D10"/>
    <mergeCell ref="H10:I10"/>
    <mergeCell ref="A12:A14"/>
    <mergeCell ref="B12:B14"/>
    <mergeCell ref="C13:D13"/>
    <mergeCell ref="H13:I13"/>
    <mergeCell ref="A27:A29"/>
    <mergeCell ref="B27:B29"/>
    <mergeCell ref="C28:D28"/>
    <mergeCell ref="H28:I28"/>
    <mergeCell ref="A30:A32"/>
    <mergeCell ref="B30:B32"/>
    <mergeCell ref="C31:D31"/>
    <mergeCell ref="H31:I31"/>
    <mergeCell ref="A21:A23"/>
    <mergeCell ref="B21:B23"/>
    <mergeCell ref="C22:D22"/>
    <mergeCell ref="H22:I22"/>
    <mergeCell ref="A24:A26"/>
    <mergeCell ref="B24:B26"/>
    <mergeCell ref="C25:D25"/>
    <mergeCell ref="H25:I25"/>
    <mergeCell ref="A39:A41"/>
    <mergeCell ref="B39:B41"/>
    <mergeCell ref="C40:D40"/>
    <mergeCell ref="H40:I40"/>
    <mergeCell ref="A42:A44"/>
    <mergeCell ref="B42:B44"/>
    <mergeCell ref="C43:D43"/>
    <mergeCell ref="H43:I43"/>
    <mergeCell ref="A33:A35"/>
    <mergeCell ref="B33:B35"/>
    <mergeCell ref="C34:D34"/>
    <mergeCell ref="H34:I34"/>
    <mergeCell ref="A36:A38"/>
    <mergeCell ref="B36:B38"/>
    <mergeCell ref="C37:D37"/>
    <mergeCell ref="H37:I37"/>
    <mergeCell ref="A51:A53"/>
    <mergeCell ref="B51:B53"/>
    <mergeCell ref="C52:D52"/>
    <mergeCell ref="H52:I52"/>
    <mergeCell ref="A54:A56"/>
    <mergeCell ref="B54:B56"/>
    <mergeCell ref="C55:D55"/>
    <mergeCell ref="H55:I55"/>
    <mergeCell ref="A45:A47"/>
    <mergeCell ref="B45:B47"/>
    <mergeCell ref="C46:D46"/>
    <mergeCell ref="H46:I46"/>
    <mergeCell ref="A48:A50"/>
    <mergeCell ref="B48:B50"/>
    <mergeCell ref="C49:D49"/>
    <mergeCell ref="H49:I49"/>
    <mergeCell ref="A63:A65"/>
    <mergeCell ref="B63:B65"/>
    <mergeCell ref="C64:D64"/>
    <mergeCell ref="H64:I64"/>
    <mergeCell ref="A66:A68"/>
    <mergeCell ref="B66:B68"/>
    <mergeCell ref="C67:D67"/>
    <mergeCell ref="H67:I67"/>
    <mergeCell ref="A57:A59"/>
    <mergeCell ref="B57:B59"/>
    <mergeCell ref="C58:D58"/>
    <mergeCell ref="H58:I58"/>
    <mergeCell ref="A60:A62"/>
    <mergeCell ref="B60:B62"/>
    <mergeCell ref="C61:D61"/>
    <mergeCell ref="H61:I61"/>
    <mergeCell ref="A75:A77"/>
    <mergeCell ref="B75:B77"/>
    <mergeCell ref="C76:D76"/>
    <mergeCell ref="H76:I76"/>
    <mergeCell ref="A78:A80"/>
    <mergeCell ref="B78:B80"/>
    <mergeCell ref="C79:D79"/>
    <mergeCell ref="H79:I79"/>
    <mergeCell ref="A69:A71"/>
    <mergeCell ref="B69:B71"/>
    <mergeCell ref="C70:D70"/>
    <mergeCell ref="H70:I70"/>
    <mergeCell ref="A72:A74"/>
    <mergeCell ref="B72:B74"/>
    <mergeCell ref="C73:D73"/>
    <mergeCell ref="H73:I73"/>
    <mergeCell ref="A87:A89"/>
    <mergeCell ref="B87:B89"/>
    <mergeCell ref="C88:D88"/>
    <mergeCell ref="H88:I88"/>
    <mergeCell ref="A90:A92"/>
    <mergeCell ref="B90:B92"/>
    <mergeCell ref="C91:D91"/>
    <mergeCell ref="H91:I91"/>
    <mergeCell ref="A81:A83"/>
    <mergeCell ref="B81:B83"/>
    <mergeCell ref="C82:D82"/>
    <mergeCell ref="H82:I82"/>
    <mergeCell ref="A84:A86"/>
    <mergeCell ref="B84:B86"/>
    <mergeCell ref="C85:D85"/>
    <mergeCell ref="H85:I85"/>
    <mergeCell ref="A99:A101"/>
    <mergeCell ref="B99:B101"/>
    <mergeCell ref="C100:D100"/>
    <mergeCell ref="H100:I100"/>
    <mergeCell ref="A102:A104"/>
    <mergeCell ref="B102:B104"/>
    <mergeCell ref="C103:D103"/>
    <mergeCell ref="H103:I103"/>
    <mergeCell ref="A93:A95"/>
    <mergeCell ref="B93:B95"/>
    <mergeCell ref="C94:D94"/>
    <mergeCell ref="H94:I94"/>
    <mergeCell ref="A96:A98"/>
    <mergeCell ref="B96:B98"/>
    <mergeCell ref="C97:D97"/>
    <mergeCell ref="H97:I97"/>
    <mergeCell ref="A111:A113"/>
    <mergeCell ref="B111:B113"/>
    <mergeCell ref="C112:D112"/>
    <mergeCell ref="H112:I112"/>
    <mergeCell ref="A114:A116"/>
    <mergeCell ref="B114:B116"/>
    <mergeCell ref="C115:D115"/>
    <mergeCell ref="H115:I115"/>
    <mergeCell ref="A105:A107"/>
    <mergeCell ref="B105:B107"/>
    <mergeCell ref="C106:D106"/>
    <mergeCell ref="H106:I106"/>
    <mergeCell ref="A108:A110"/>
    <mergeCell ref="B108:B110"/>
    <mergeCell ref="C109:D109"/>
    <mergeCell ref="H109:I109"/>
    <mergeCell ref="A123:A125"/>
    <mergeCell ref="B123:B125"/>
    <mergeCell ref="C124:D124"/>
    <mergeCell ref="H124:I124"/>
    <mergeCell ref="A126:A128"/>
    <mergeCell ref="B126:B128"/>
    <mergeCell ref="C127:D127"/>
    <mergeCell ref="H127:I127"/>
    <mergeCell ref="A117:A119"/>
    <mergeCell ref="B117:B119"/>
    <mergeCell ref="C118:D118"/>
    <mergeCell ref="H118:I118"/>
    <mergeCell ref="A120:A122"/>
    <mergeCell ref="B120:B122"/>
    <mergeCell ref="C121:D121"/>
    <mergeCell ref="H121:I121"/>
    <mergeCell ref="Q15:Y17"/>
    <mergeCell ref="M16:P16"/>
    <mergeCell ref="Q18:Y20"/>
    <mergeCell ref="M19:P19"/>
    <mergeCell ref="Q21:Y23"/>
    <mergeCell ref="M22:P22"/>
    <mergeCell ref="Q9:Y11"/>
    <mergeCell ref="Q7:Y8"/>
    <mergeCell ref="M10:P10"/>
    <mergeCell ref="Q12:Y14"/>
    <mergeCell ref="M13:P13"/>
    <mergeCell ref="Q33:Y35"/>
    <mergeCell ref="M34:P34"/>
    <mergeCell ref="Q36:Y38"/>
    <mergeCell ref="M37:P37"/>
    <mergeCell ref="Q39:Y41"/>
    <mergeCell ref="M40:P40"/>
    <mergeCell ref="Q24:Y26"/>
    <mergeCell ref="M25:P25"/>
    <mergeCell ref="Q27:Y29"/>
    <mergeCell ref="M28:P28"/>
    <mergeCell ref="Q30:Y32"/>
    <mergeCell ref="M31:P31"/>
    <mergeCell ref="Q51:Y53"/>
    <mergeCell ref="M52:P52"/>
    <mergeCell ref="Q54:Y56"/>
    <mergeCell ref="M55:P55"/>
    <mergeCell ref="Q57:Y59"/>
    <mergeCell ref="M58:P58"/>
    <mergeCell ref="Q42:Y44"/>
    <mergeCell ref="M43:P43"/>
    <mergeCell ref="Q45:Y47"/>
    <mergeCell ref="M46:P46"/>
    <mergeCell ref="Q48:Y50"/>
    <mergeCell ref="M49:P49"/>
    <mergeCell ref="Q69:Y71"/>
    <mergeCell ref="M70:P70"/>
    <mergeCell ref="Q72:Y74"/>
    <mergeCell ref="M73:P73"/>
    <mergeCell ref="Q75:Y77"/>
    <mergeCell ref="M76:P76"/>
    <mergeCell ref="Q60:Y62"/>
    <mergeCell ref="M61:P61"/>
    <mergeCell ref="Q63:Y65"/>
    <mergeCell ref="M64:P64"/>
    <mergeCell ref="Q66:Y68"/>
    <mergeCell ref="M67:P67"/>
    <mergeCell ref="Q87:Y89"/>
    <mergeCell ref="M88:P88"/>
    <mergeCell ref="Q90:Y92"/>
    <mergeCell ref="M91:P91"/>
    <mergeCell ref="Q93:Y95"/>
    <mergeCell ref="M94:P94"/>
    <mergeCell ref="Q78:Y80"/>
    <mergeCell ref="M79:P79"/>
    <mergeCell ref="Q81:Y83"/>
    <mergeCell ref="M82:P82"/>
    <mergeCell ref="Q84:Y86"/>
    <mergeCell ref="M85:P85"/>
    <mergeCell ref="Q105:Y107"/>
    <mergeCell ref="M106:P106"/>
    <mergeCell ref="Q108:Y110"/>
    <mergeCell ref="M109:P109"/>
    <mergeCell ref="Q111:Y113"/>
    <mergeCell ref="M112:P112"/>
    <mergeCell ref="Q96:Y98"/>
    <mergeCell ref="M97:P97"/>
    <mergeCell ref="Q99:Y101"/>
    <mergeCell ref="M100:P100"/>
    <mergeCell ref="Q102:Y104"/>
    <mergeCell ref="M103:P103"/>
    <mergeCell ref="Q123:Y125"/>
    <mergeCell ref="M124:P124"/>
    <mergeCell ref="Q126:Y128"/>
    <mergeCell ref="M127:P127"/>
    <mergeCell ref="Q114:Y116"/>
    <mergeCell ref="M115:P115"/>
    <mergeCell ref="Q117:Y119"/>
    <mergeCell ref="M118:P118"/>
    <mergeCell ref="Q120:Y122"/>
    <mergeCell ref="M121:P121"/>
  </mergeCells>
  <pageMargins left="0.39370078740157483" right="0.39370078740157483" top="0.39370078740157483" bottom="0.78740157480314965" header="0" footer="0.39370078740157483"/>
  <pageSetup paperSize="9" orientation="landscape" horizontalDpi="300" r:id="rId1"/>
  <headerFooter>
    <oddFooter>Страница  &amp;P из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4"/>
  <sheetViews>
    <sheetView zoomScaleNormal="100" workbookViewId="0">
      <selection activeCell="D12" sqref="D12"/>
    </sheetView>
  </sheetViews>
  <sheetFormatPr defaultRowHeight="15" x14ac:dyDescent="0.25"/>
  <cols>
    <col min="1" max="1" width="91.5703125" customWidth="1"/>
  </cols>
  <sheetData>
    <row r="1" spans="1:1" ht="42" x14ac:dyDescent="0.35">
      <c r="A1" s="341" t="s">
        <v>383</v>
      </c>
    </row>
    <row r="2" spans="1:1" x14ac:dyDescent="0.25">
      <c r="A2" s="307"/>
    </row>
    <row r="3" spans="1:1" x14ac:dyDescent="0.25">
      <c r="A3" s="337" t="s">
        <v>371</v>
      </c>
    </row>
    <row r="4" spans="1:1" x14ac:dyDescent="0.25">
      <c r="A4" s="307" t="s">
        <v>370</v>
      </c>
    </row>
    <row r="5" spans="1:1" ht="45" x14ac:dyDescent="0.25">
      <c r="A5" s="307" t="s">
        <v>372</v>
      </c>
    </row>
    <row r="6" spans="1:1" x14ac:dyDescent="0.25">
      <c r="A6" s="307"/>
    </row>
    <row r="7" spans="1:1" x14ac:dyDescent="0.25">
      <c r="A7" s="337" t="s">
        <v>374</v>
      </c>
    </row>
    <row r="8" spans="1:1" x14ac:dyDescent="0.25">
      <c r="A8" s="307" t="s">
        <v>373</v>
      </c>
    </row>
    <row r="9" spans="1:1" ht="30" x14ac:dyDescent="0.25">
      <c r="A9" s="307" t="s">
        <v>375</v>
      </c>
    </row>
    <row r="10" spans="1:1" x14ac:dyDescent="0.25">
      <c r="A10" s="307"/>
    </row>
    <row r="11" spans="1:1" ht="30" x14ac:dyDescent="0.25">
      <c r="A11" s="337" t="s">
        <v>376</v>
      </c>
    </row>
    <row r="12" spans="1:1" x14ac:dyDescent="0.25">
      <c r="A12" s="307"/>
    </row>
    <row r="13" spans="1:1" x14ac:dyDescent="0.25">
      <c r="A13" s="337" t="s">
        <v>377</v>
      </c>
    </row>
    <row r="14" spans="1:1" x14ac:dyDescent="0.25">
      <c r="A14" s="307" t="s">
        <v>378</v>
      </c>
    </row>
    <row r="15" spans="1:1" x14ac:dyDescent="0.25">
      <c r="A15" s="307" t="s">
        <v>379</v>
      </c>
    </row>
    <row r="16" spans="1:1" x14ac:dyDescent="0.25">
      <c r="A16" s="307" t="s">
        <v>380</v>
      </c>
    </row>
    <row r="17" spans="1:1" x14ac:dyDescent="0.25">
      <c r="A17" s="307" t="s">
        <v>381</v>
      </c>
    </row>
    <row r="18" spans="1:1" x14ac:dyDescent="0.25">
      <c r="A18" s="307"/>
    </row>
    <row r="19" spans="1:1" x14ac:dyDescent="0.25">
      <c r="A19" s="337" t="s">
        <v>382</v>
      </c>
    </row>
    <row r="20" spans="1:1" ht="15.75" thickBot="1" x14ac:dyDescent="0.3">
      <c r="A20" s="342"/>
    </row>
    <row r="21" spans="1:1" ht="15.75" thickTop="1" x14ac:dyDescent="0.25">
      <c r="A21" s="307"/>
    </row>
    <row r="22" spans="1:1" ht="21" x14ac:dyDescent="0.35">
      <c r="A22" s="341" t="s">
        <v>434</v>
      </c>
    </row>
    <row r="23" spans="1:1" x14ac:dyDescent="0.25">
      <c r="A23" s="307"/>
    </row>
    <row r="24" spans="1:1" x14ac:dyDescent="0.25">
      <c r="A24" s="307" t="s">
        <v>430</v>
      </c>
    </row>
    <row r="26" spans="1:1" x14ac:dyDescent="0.25">
      <c r="A26" s="307" t="s">
        <v>431</v>
      </c>
    </row>
    <row r="28" spans="1:1" x14ac:dyDescent="0.25">
      <c r="A28" s="307" t="s">
        <v>432</v>
      </c>
    </row>
    <row r="29" spans="1:1" x14ac:dyDescent="0.25">
      <c r="A29" s="307"/>
    </row>
    <row r="30" spans="1:1" x14ac:dyDescent="0.25">
      <c r="A30" s="307" t="s">
        <v>433</v>
      </c>
    </row>
    <row r="31" spans="1:1" x14ac:dyDescent="0.25">
      <c r="A31" s="307"/>
    </row>
    <row r="32" spans="1:1" x14ac:dyDescent="0.25">
      <c r="A32" s="307"/>
    </row>
    <row r="33" spans="1:1" x14ac:dyDescent="0.25">
      <c r="A33" s="307"/>
    </row>
    <row r="34" spans="1:1" x14ac:dyDescent="0.25">
      <c r="A34" s="307"/>
    </row>
    <row r="35" spans="1:1" x14ac:dyDescent="0.25">
      <c r="A35" s="307"/>
    </row>
    <row r="36" spans="1:1" x14ac:dyDescent="0.25">
      <c r="A36" s="307"/>
    </row>
    <row r="37" spans="1:1" x14ac:dyDescent="0.25">
      <c r="A37" s="307"/>
    </row>
    <row r="38" spans="1:1" x14ac:dyDescent="0.25">
      <c r="A38" s="307"/>
    </row>
    <row r="39" spans="1:1" x14ac:dyDescent="0.25">
      <c r="A39" s="307"/>
    </row>
    <row r="40" spans="1:1" x14ac:dyDescent="0.25">
      <c r="A40" s="307"/>
    </row>
    <row r="41" spans="1:1" x14ac:dyDescent="0.25">
      <c r="A41" s="307"/>
    </row>
    <row r="42" spans="1:1" x14ac:dyDescent="0.25">
      <c r="A42" s="307"/>
    </row>
    <row r="43" spans="1:1" x14ac:dyDescent="0.25">
      <c r="A43" s="307"/>
    </row>
    <row r="44" spans="1:1" x14ac:dyDescent="0.25">
      <c r="A44" s="307"/>
    </row>
    <row r="45" spans="1:1" x14ac:dyDescent="0.25">
      <c r="A45" s="307"/>
    </row>
    <row r="46" spans="1:1" x14ac:dyDescent="0.25">
      <c r="A46" s="307"/>
    </row>
    <row r="47" spans="1:1" x14ac:dyDescent="0.25">
      <c r="A47" s="307"/>
    </row>
    <row r="48" spans="1:1" x14ac:dyDescent="0.25">
      <c r="A48" s="307"/>
    </row>
    <row r="49" spans="1:1" x14ac:dyDescent="0.25">
      <c r="A49" s="307"/>
    </row>
    <row r="50" spans="1:1" x14ac:dyDescent="0.25">
      <c r="A50" s="307"/>
    </row>
    <row r="51" spans="1:1" x14ac:dyDescent="0.25">
      <c r="A51" s="307"/>
    </row>
    <row r="52" spans="1:1" x14ac:dyDescent="0.25">
      <c r="A52" s="307"/>
    </row>
    <row r="53" spans="1:1" x14ac:dyDescent="0.25">
      <c r="A53" s="307"/>
    </row>
    <row r="54" spans="1:1" x14ac:dyDescent="0.25">
      <c r="A54" s="307"/>
    </row>
  </sheetData>
  <pageMargins left="0.39370078740157483" right="0.39370078740157483" top="0.39370078740157483" bottom="0.39370078740157483" header="0" footer="0"/>
  <pageSetup paperSize="9" orientation="portrait" horizontalDpi="300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5"/>
  <sheetViews>
    <sheetView zoomScaleNormal="100" workbookViewId="0">
      <selection activeCell="D12" sqref="D12"/>
    </sheetView>
  </sheetViews>
  <sheetFormatPr defaultRowHeight="15" x14ac:dyDescent="0.25"/>
  <cols>
    <col min="1" max="1" width="91.5703125" style="12" customWidth="1"/>
    <col min="2" max="16384" width="9.140625" style="12"/>
  </cols>
  <sheetData>
    <row r="1" spans="1:1" ht="21" x14ac:dyDescent="0.35">
      <c r="A1" s="341" t="s">
        <v>414</v>
      </c>
    </row>
    <row r="2" spans="1:1" x14ac:dyDescent="0.25">
      <c r="A2" s="307"/>
    </row>
    <row r="3" spans="1:1" x14ac:dyDescent="0.25">
      <c r="A3" s="307" t="s">
        <v>415</v>
      </c>
    </row>
    <row r="4" spans="1:1" x14ac:dyDescent="0.25">
      <c r="A4" s="307" t="s">
        <v>416</v>
      </c>
    </row>
    <row r="5" spans="1:1" x14ac:dyDescent="0.25">
      <c r="A5" s="307" t="s">
        <v>417</v>
      </c>
    </row>
    <row r="6" spans="1:1" ht="30" x14ac:dyDescent="0.25">
      <c r="A6" s="307" t="s">
        <v>418</v>
      </c>
    </row>
    <row r="7" spans="1:1" x14ac:dyDescent="0.25">
      <c r="A7" s="307" t="s">
        <v>419</v>
      </c>
    </row>
    <row r="8" spans="1:1" ht="30" x14ac:dyDescent="0.25">
      <c r="A8" s="307" t="s">
        <v>420</v>
      </c>
    </row>
    <row r="9" spans="1:1" ht="30" x14ac:dyDescent="0.25">
      <c r="A9" s="307" t="s">
        <v>421</v>
      </c>
    </row>
    <row r="10" spans="1:1" x14ac:dyDescent="0.25">
      <c r="A10" s="307" t="s">
        <v>422</v>
      </c>
    </row>
    <row r="11" spans="1:1" x14ac:dyDescent="0.25">
      <c r="A11" s="307"/>
    </row>
    <row r="12" spans="1:1" x14ac:dyDescent="0.25">
      <c r="A12" s="307"/>
    </row>
    <row r="13" spans="1:1" x14ac:dyDescent="0.25">
      <c r="A13" s="307"/>
    </row>
    <row r="14" spans="1:1" x14ac:dyDescent="0.25">
      <c r="A14" s="307"/>
    </row>
    <row r="15" spans="1:1" x14ac:dyDescent="0.25">
      <c r="A15" s="307"/>
    </row>
    <row r="16" spans="1:1" x14ac:dyDescent="0.25">
      <c r="A16" s="307"/>
    </row>
    <row r="17" spans="1:1" x14ac:dyDescent="0.25">
      <c r="A17" s="307"/>
    </row>
    <row r="18" spans="1:1" x14ac:dyDescent="0.25">
      <c r="A18" s="307"/>
    </row>
    <row r="19" spans="1:1" x14ac:dyDescent="0.25">
      <c r="A19" s="307"/>
    </row>
    <row r="20" spans="1:1" x14ac:dyDescent="0.25">
      <c r="A20" s="307"/>
    </row>
    <row r="21" spans="1:1" x14ac:dyDescent="0.25">
      <c r="A21" s="307"/>
    </row>
    <row r="22" spans="1:1" x14ac:dyDescent="0.25">
      <c r="A22" s="307"/>
    </row>
    <row r="23" spans="1:1" x14ac:dyDescent="0.25">
      <c r="A23" s="307"/>
    </row>
    <row r="24" spans="1:1" x14ac:dyDescent="0.25">
      <c r="A24" s="307"/>
    </row>
    <row r="25" spans="1:1" x14ac:dyDescent="0.25">
      <c r="A25" s="307"/>
    </row>
    <row r="26" spans="1:1" x14ac:dyDescent="0.25">
      <c r="A26" s="307"/>
    </row>
    <row r="27" spans="1:1" x14ac:dyDescent="0.25">
      <c r="A27" s="307"/>
    </row>
    <row r="28" spans="1:1" x14ac:dyDescent="0.25">
      <c r="A28" s="307"/>
    </row>
    <row r="29" spans="1:1" x14ac:dyDescent="0.25">
      <c r="A29" s="307"/>
    </row>
    <row r="30" spans="1:1" x14ac:dyDescent="0.25">
      <c r="A30" s="307"/>
    </row>
    <row r="31" spans="1:1" x14ac:dyDescent="0.25">
      <c r="A31" s="307"/>
    </row>
    <row r="32" spans="1:1" x14ac:dyDescent="0.25">
      <c r="A32" s="307"/>
    </row>
    <row r="33" spans="1:1" x14ac:dyDescent="0.25">
      <c r="A33" s="307"/>
    </row>
    <row r="34" spans="1:1" x14ac:dyDescent="0.25">
      <c r="A34" s="307"/>
    </row>
    <row r="35" spans="1:1" x14ac:dyDescent="0.25">
      <c r="A35" s="307"/>
    </row>
    <row r="36" spans="1:1" x14ac:dyDescent="0.25">
      <c r="A36" s="307"/>
    </row>
    <row r="37" spans="1:1" x14ac:dyDescent="0.25">
      <c r="A37" s="307"/>
    </row>
    <row r="38" spans="1:1" x14ac:dyDescent="0.25">
      <c r="A38" s="307"/>
    </row>
    <row r="39" spans="1:1" x14ac:dyDescent="0.25">
      <c r="A39" s="307"/>
    </row>
    <row r="40" spans="1:1" x14ac:dyDescent="0.25">
      <c r="A40" s="307"/>
    </row>
    <row r="41" spans="1:1" x14ac:dyDescent="0.25">
      <c r="A41" s="307"/>
    </row>
    <row r="42" spans="1:1" x14ac:dyDescent="0.25">
      <c r="A42" s="307"/>
    </row>
    <row r="43" spans="1:1" x14ac:dyDescent="0.25">
      <c r="A43" s="307"/>
    </row>
    <row r="44" spans="1:1" x14ac:dyDescent="0.25">
      <c r="A44" s="307"/>
    </row>
    <row r="45" spans="1:1" x14ac:dyDescent="0.25">
      <c r="A45" s="307"/>
    </row>
  </sheetData>
  <pageMargins left="0.39370078740157483" right="0.39370078740157483" top="0.39370078740157483" bottom="0.39370078740157483" header="0" footer="0"/>
  <pageSetup paperSize="9" orientation="portrait" horizontalDpi="300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0"/>
  <sheetViews>
    <sheetView zoomScaleNormal="100" workbookViewId="0">
      <selection activeCell="D12" sqref="D12"/>
    </sheetView>
  </sheetViews>
  <sheetFormatPr defaultRowHeight="15" x14ac:dyDescent="0.25"/>
  <cols>
    <col min="1" max="1" width="91.5703125" style="12" customWidth="1"/>
    <col min="2" max="16384" width="9.140625" style="12"/>
  </cols>
  <sheetData>
    <row r="1" spans="1:4" ht="21" x14ac:dyDescent="0.35">
      <c r="A1" s="339" t="str">
        <f ca="1">INDIRECT(ADDRESS(D1,1,,,"Общее"))</f>
        <v>ДС-1 РД Старт</v>
      </c>
      <c r="C1" s="14" t="s">
        <v>153</v>
      </c>
      <c r="D1" s="14">
        <v>14</v>
      </c>
    </row>
    <row r="2" spans="1:4" x14ac:dyDescent="0.25">
      <c r="A2" s="338" t="str">
        <f ca="1">INDIRECT(ADDRESS($D$1,14,,,"Общее"))&amp;" / "&amp;INDIRECT(ADDRESS($D$1,15,,,"Общее"))</f>
        <v>54.836045, 32.175301 / N 54 50.163 E 32 10.518</v>
      </c>
    </row>
    <row r="3" spans="1:4" ht="30" customHeight="1" x14ac:dyDescent="0.25">
      <c r="A3" s="340" t="str">
        <f ca="1">INDIRECT(ADDRESS($D$1,16,,,"Общее"))</f>
        <v>Старая смоленская дорога, направление на Кардымово, после Гедеоновки - низина, потом подъем, в самом верху - поворот направо (иногда там ставят камеру)</v>
      </c>
    </row>
    <row r="4" spans="1:4" x14ac:dyDescent="0.25">
      <c r="A4" s="338" t="str">
        <f ca="1">"Щиты: "&amp;INDIRECT(ADDRESS($D$1,13,,,"Общее"))</f>
        <v>Щиты: Красн. фл.</v>
      </c>
    </row>
    <row r="5" spans="1:4" x14ac:dyDescent="0.25">
      <c r="A5" s="338" t="str">
        <f ca="1">"Экипажи будут ехать "&amp;INDIRECT(ADDRESS($D$1,17,,,"Общее"))</f>
        <v>Экипажи будут ехать со стороны Гедеоновки</v>
      </c>
    </row>
    <row r="6" spans="1:4" x14ac:dyDescent="0.25">
      <c r="A6" s="338" t="s">
        <v>429</v>
      </c>
    </row>
    <row r="7" spans="1:4" x14ac:dyDescent="0.25">
      <c r="A7" s="307"/>
    </row>
    <row r="8" spans="1:4" x14ac:dyDescent="0.25">
      <c r="A8" s="307" t="s">
        <v>385</v>
      </c>
    </row>
    <row r="9" spans="1:4" x14ac:dyDescent="0.25">
      <c r="A9" s="307" t="s">
        <v>403</v>
      </c>
    </row>
    <row r="10" spans="1:4" x14ac:dyDescent="0.25">
      <c r="A10" s="307" t="s">
        <v>387</v>
      </c>
    </row>
    <row r="11" spans="1:4" x14ac:dyDescent="0.25">
      <c r="A11" s="307" t="s">
        <v>402</v>
      </c>
    </row>
    <row r="12" spans="1:4" ht="45" x14ac:dyDescent="0.25">
      <c r="A12" s="307" t="s">
        <v>397</v>
      </c>
    </row>
    <row r="13" spans="1:4" x14ac:dyDescent="0.25">
      <c r="A13" s="307" t="s">
        <v>398</v>
      </c>
    </row>
    <row r="14" spans="1:4" ht="30" x14ac:dyDescent="0.25">
      <c r="A14" s="307" t="s">
        <v>399</v>
      </c>
    </row>
    <row r="15" spans="1:4" ht="30" x14ac:dyDescent="0.25">
      <c r="A15" s="307" t="s">
        <v>400</v>
      </c>
    </row>
    <row r="16" spans="1:4" x14ac:dyDescent="0.25">
      <c r="A16" s="307" t="s">
        <v>401</v>
      </c>
    </row>
    <row r="17" spans="1:1" x14ac:dyDescent="0.25">
      <c r="A17" s="307"/>
    </row>
    <row r="18" spans="1:1" x14ac:dyDescent="0.25">
      <c r="A18" s="307"/>
    </row>
    <row r="19" spans="1:1" x14ac:dyDescent="0.25">
      <c r="A19" s="307"/>
    </row>
    <row r="20" spans="1:1" x14ac:dyDescent="0.25">
      <c r="A20" s="307"/>
    </row>
    <row r="21" spans="1:1" x14ac:dyDescent="0.25">
      <c r="A21" s="307"/>
    </row>
    <row r="22" spans="1:1" x14ac:dyDescent="0.25">
      <c r="A22" s="307"/>
    </row>
    <row r="23" spans="1:1" x14ac:dyDescent="0.25">
      <c r="A23" s="307"/>
    </row>
    <row r="24" spans="1:1" x14ac:dyDescent="0.25">
      <c r="A24" s="307"/>
    </row>
    <row r="25" spans="1:1" x14ac:dyDescent="0.25">
      <c r="A25" s="307"/>
    </row>
    <row r="26" spans="1:1" x14ac:dyDescent="0.25">
      <c r="A26" s="307"/>
    </row>
    <row r="27" spans="1:1" x14ac:dyDescent="0.25">
      <c r="A27" s="307"/>
    </row>
    <row r="28" spans="1:1" x14ac:dyDescent="0.25">
      <c r="A28" s="307"/>
    </row>
    <row r="29" spans="1:1" x14ac:dyDescent="0.25">
      <c r="A29" s="307"/>
    </row>
    <row r="30" spans="1:1" x14ac:dyDescent="0.25">
      <c r="A30" s="307"/>
    </row>
    <row r="31" spans="1:1" x14ac:dyDescent="0.25">
      <c r="A31" s="307"/>
    </row>
    <row r="32" spans="1:1" x14ac:dyDescent="0.25">
      <c r="A32" s="307"/>
    </row>
    <row r="33" spans="1:1" x14ac:dyDescent="0.25">
      <c r="A33" s="307"/>
    </row>
    <row r="34" spans="1:1" x14ac:dyDescent="0.25">
      <c r="A34" s="307"/>
    </row>
    <row r="35" spans="1:1" x14ac:dyDescent="0.25">
      <c r="A35" s="307"/>
    </row>
    <row r="36" spans="1:1" x14ac:dyDescent="0.25">
      <c r="A36" s="307"/>
    </row>
    <row r="37" spans="1:1" x14ac:dyDescent="0.25">
      <c r="A37" s="307"/>
    </row>
    <row r="38" spans="1:1" x14ac:dyDescent="0.25">
      <c r="A38" s="307"/>
    </row>
    <row r="39" spans="1:1" x14ac:dyDescent="0.25">
      <c r="A39" s="307"/>
    </row>
    <row r="40" spans="1:1" x14ac:dyDescent="0.25">
      <c r="A40" s="307"/>
    </row>
    <row r="41" spans="1:1" x14ac:dyDescent="0.25">
      <c r="A41" s="307"/>
    </row>
    <row r="42" spans="1:1" x14ac:dyDescent="0.25">
      <c r="A42" s="307"/>
    </row>
    <row r="43" spans="1:1" x14ac:dyDescent="0.25">
      <c r="A43" s="307"/>
    </row>
    <row r="44" spans="1:1" x14ac:dyDescent="0.25">
      <c r="A44" s="307"/>
    </row>
    <row r="45" spans="1:1" x14ac:dyDescent="0.25">
      <c r="A45" s="307"/>
    </row>
    <row r="46" spans="1:1" x14ac:dyDescent="0.25">
      <c r="A46" s="307"/>
    </row>
    <row r="47" spans="1:1" x14ac:dyDescent="0.25">
      <c r="A47" s="307"/>
    </row>
    <row r="48" spans="1:1" x14ac:dyDescent="0.25">
      <c r="A48" s="307"/>
    </row>
    <row r="49" spans="1:1" x14ac:dyDescent="0.25">
      <c r="A49" s="307"/>
    </row>
    <row r="50" spans="1:1" x14ac:dyDescent="0.25">
      <c r="A50" s="307"/>
    </row>
  </sheetData>
  <pageMargins left="0.39370078740157483" right="0.39370078740157483" top="0.39370078740157483" bottom="0.39370078740157483" header="0" footer="0"/>
  <pageSetup paperSize="9" orientation="portrait" horizontalDpi="3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0"/>
  <sheetViews>
    <sheetView zoomScaleNormal="100" workbookViewId="0">
      <selection activeCell="D12" sqref="D12"/>
    </sheetView>
  </sheetViews>
  <sheetFormatPr defaultRowHeight="15" x14ac:dyDescent="0.25"/>
  <cols>
    <col min="1" max="1" width="91.5703125" style="12" customWidth="1"/>
    <col min="2" max="16384" width="9.140625" style="12"/>
  </cols>
  <sheetData>
    <row r="1" spans="1:4" ht="21" x14ac:dyDescent="0.35">
      <c r="A1" s="339" t="str">
        <f ca="1">INDIRECT(ADDRESS(D1,1,,,"Общее"))</f>
        <v>ДС-1 РД Финиш</v>
      </c>
      <c r="C1" s="14" t="s">
        <v>153</v>
      </c>
      <c r="D1" s="14">
        <v>15</v>
      </c>
    </row>
    <row r="2" spans="1:4" x14ac:dyDescent="0.25">
      <c r="A2" s="338" t="str">
        <f ca="1">INDIRECT(ADDRESS($D$1,14,,,"Общее"))&amp;" / "&amp;INDIRECT(ADDRESS($D$1,15,,,"Общее"))</f>
        <v>54.873287, 32.224934 / N 54 52.397 E 32 13.496</v>
      </c>
    </row>
    <row r="3" spans="1:4" ht="30" customHeight="1" x14ac:dyDescent="0.25">
      <c r="A3" s="340" t="str">
        <f ca="1">INDIRECT(ADDRESS($D$1,16,,,"Общее"))</f>
        <v>окружная дорога, поворот на Ковалево/Михейково</v>
      </c>
    </row>
    <row r="4" spans="1:4" x14ac:dyDescent="0.25">
      <c r="A4" s="338" t="str">
        <f ca="1">"Щиты: "&amp;INDIRECT(ADDRESS($D$1,13,,,"Общее"))</f>
        <v>Щиты: Клетчатый кр. фл.</v>
      </c>
    </row>
    <row r="5" spans="1:4" x14ac:dyDescent="0.25">
      <c r="A5" s="338" t="str">
        <f ca="1">"Экипажи будут ехать "&amp;INDIRECT(ADDRESS($D$1,17,,,"Общее"))</f>
        <v>Экипажи будут ехать в сторону М1</v>
      </c>
    </row>
    <row r="6" spans="1:4" x14ac:dyDescent="0.25">
      <c r="A6" s="338" t="s">
        <v>429</v>
      </c>
    </row>
    <row r="7" spans="1:4" x14ac:dyDescent="0.25">
      <c r="A7" s="307"/>
    </row>
    <row r="8" spans="1:4" x14ac:dyDescent="0.25">
      <c r="A8" s="307" t="s">
        <v>385</v>
      </c>
    </row>
    <row r="9" spans="1:4" x14ac:dyDescent="0.25">
      <c r="A9" s="307" t="s">
        <v>396</v>
      </c>
    </row>
    <row r="10" spans="1:4" x14ac:dyDescent="0.25">
      <c r="A10" s="307" t="s">
        <v>387</v>
      </c>
    </row>
    <row r="11" spans="1:4" ht="45" x14ac:dyDescent="0.25">
      <c r="A11" s="307" t="s">
        <v>410</v>
      </c>
    </row>
    <row r="12" spans="1:4" ht="30" x14ac:dyDescent="0.25">
      <c r="A12" s="307" t="s">
        <v>411</v>
      </c>
    </row>
    <row r="13" spans="1:4" x14ac:dyDescent="0.25">
      <c r="A13" s="307" t="s">
        <v>412</v>
      </c>
    </row>
    <row r="14" spans="1:4" ht="30" x14ac:dyDescent="0.25">
      <c r="A14" s="307" t="s">
        <v>399</v>
      </c>
    </row>
    <row r="15" spans="1:4" ht="30" x14ac:dyDescent="0.25">
      <c r="A15" s="307" t="s">
        <v>400</v>
      </c>
    </row>
    <row r="16" spans="1:4" x14ac:dyDescent="0.25">
      <c r="A16" s="307" t="s">
        <v>401</v>
      </c>
    </row>
    <row r="17" spans="1:1" x14ac:dyDescent="0.25">
      <c r="A17" s="307"/>
    </row>
    <row r="18" spans="1:1" x14ac:dyDescent="0.25">
      <c r="A18" s="307"/>
    </row>
    <row r="19" spans="1:1" x14ac:dyDescent="0.25">
      <c r="A19" s="307"/>
    </row>
    <row r="20" spans="1:1" x14ac:dyDescent="0.25">
      <c r="A20" s="307"/>
    </row>
    <row r="21" spans="1:1" x14ac:dyDescent="0.25">
      <c r="A21" s="307"/>
    </row>
    <row r="22" spans="1:1" x14ac:dyDescent="0.25">
      <c r="A22" s="307"/>
    </row>
    <row r="23" spans="1:1" x14ac:dyDescent="0.25">
      <c r="A23" s="307"/>
    </row>
    <row r="24" spans="1:1" x14ac:dyDescent="0.25">
      <c r="A24" s="307"/>
    </row>
    <row r="25" spans="1:1" x14ac:dyDescent="0.25">
      <c r="A25" s="307"/>
    </row>
    <row r="26" spans="1:1" x14ac:dyDescent="0.25">
      <c r="A26" s="307"/>
    </row>
    <row r="27" spans="1:1" x14ac:dyDescent="0.25">
      <c r="A27" s="307"/>
    </row>
    <row r="28" spans="1:1" x14ac:dyDescent="0.25">
      <c r="A28" s="307"/>
    </row>
    <row r="29" spans="1:1" x14ac:dyDescent="0.25">
      <c r="A29" s="307"/>
    </row>
    <row r="30" spans="1:1" x14ac:dyDescent="0.25">
      <c r="A30" s="307"/>
    </row>
    <row r="31" spans="1:1" x14ac:dyDescent="0.25">
      <c r="A31" s="307"/>
    </row>
    <row r="32" spans="1:1" x14ac:dyDescent="0.25">
      <c r="A32" s="307"/>
    </row>
    <row r="33" spans="1:1" x14ac:dyDescent="0.25">
      <c r="A33" s="307"/>
    </row>
    <row r="34" spans="1:1" x14ac:dyDescent="0.25">
      <c r="A34" s="307"/>
    </row>
    <row r="35" spans="1:1" x14ac:dyDescent="0.25">
      <c r="A35" s="307"/>
    </row>
    <row r="36" spans="1:1" x14ac:dyDescent="0.25">
      <c r="A36" s="307"/>
    </row>
    <row r="37" spans="1:1" x14ac:dyDescent="0.25">
      <c r="A37" s="307"/>
    </row>
    <row r="38" spans="1:1" x14ac:dyDescent="0.25">
      <c r="A38" s="307"/>
    </row>
    <row r="39" spans="1:1" x14ac:dyDescent="0.25">
      <c r="A39" s="307"/>
    </row>
    <row r="40" spans="1:1" x14ac:dyDescent="0.25">
      <c r="A40" s="307"/>
    </row>
    <row r="41" spans="1:1" x14ac:dyDescent="0.25">
      <c r="A41" s="307"/>
    </row>
    <row r="42" spans="1:1" x14ac:dyDescent="0.25">
      <c r="A42" s="307"/>
    </row>
    <row r="43" spans="1:1" x14ac:dyDescent="0.25">
      <c r="A43" s="307"/>
    </row>
    <row r="44" spans="1:1" x14ac:dyDescent="0.25">
      <c r="A44" s="307"/>
    </row>
    <row r="45" spans="1:1" x14ac:dyDescent="0.25">
      <c r="A45" s="307"/>
    </row>
    <row r="46" spans="1:1" x14ac:dyDescent="0.25">
      <c r="A46" s="307"/>
    </row>
    <row r="47" spans="1:1" x14ac:dyDescent="0.25">
      <c r="A47" s="307"/>
    </row>
    <row r="48" spans="1:1" x14ac:dyDescent="0.25">
      <c r="A48" s="307"/>
    </row>
    <row r="49" spans="1:1" x14ac:dyDescent="0.25">
      <c r="A49" s="307"/>
    </row>
    <row r="50" spans="1:1" x14ac:dyDescent="0.25">
      <c r="A50" s="307"/>
    </row>
  </sheetData>
  <pageMargins left="0.39370078740157483" right="0.39370078740157483" top="0.39370078740157483" bottom="0.39370078740157483" header="0" footer="0"/>
  <pageSetup paperSize="9" orientation="portrait" horizontalDpi="3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3"/>
  <sheetViews>
    <sheetView zoomScaleNormal="100" workbookViewId="0">
      <selection activeCell="D12" sqref="D12"/>
    </sheetView>
  </sheetViews>
  <sheetFormatPr defaultRowHeight="15" x14ac:dyDescent="0.25"/>
  <cols>
    <col min="1" max="1" width="91.5703125" style="12" customWidth="1"/>
    <col min="2" max="16384" width="9.140625" style="12"/>
  </cols>
  <sheetData>
    <row r="1" spans="1:4" ht="21" x14ac:dyDescent="0.35">
      <c r="A1" s="339" t="str">
        <f ca="1">INDIRECT(ADDRESS(D1,1,,,"Общее"))</f>
        <v>КВ-1 М1 / ДС-2 РУ Старт</v>
      </c>
      <c r="C1" s="14" t="s">
        <v>153</v>
      </c>
      <c r="D1" s="14">
        <v>16</v>
      </c>
    </row>
    <row r="2" spans="1:4" x14ac:dyDescent="0.25">
      <c r="A2" s="338" t="str">
        <f ca="1">INDIRECT(ADDRESS($D$1,14,,,"Общее"))&amp;" / "&amp;INDIRECT(ADDRESS($D$1,15,,,"Общее"))</f>
        <v>54.963619, 32.234937 / N 54 57.817 E 32 14.096</v>
      </c>
    </row>
    <row r="3" spans="1:4" ht="30" customHeight="1" x14ac:dyDescent="0.25">
      <c r="A3" s="340" t="str">
        <f ca="1">INDIRECT(ADDRESS($D$1,16,,,"Общее"))</f>
        <v>поворот с М1 на Бережняны, 960 м прямо, потом 90 м, береза справа</v>
      </c>
    </row>
    <row r="4" spans="1:4" x14ac:dyDescent="0.25">
      <c r="A4" s="338" t="str">
        <f ca="1">"Щиты: "&amp;INDIRECT(ADDRESS($D$1,13,,,"Общее"))</f>
        <v>Щиты: Часы желт., Часы красн., Красн. фл.</v>
      </c>
    </row>
    <row r="5" spans="1:4" x14ac:dyDescent="0.25">
      <c r="A5" s="338" t="str">
        <f ca="1">"Экипажи будут ехать "&amp;INDIRECT(ADDRESS($D$1,17,,,"Общее"))</f>
        <v>Экипажи будут ехать с М1</v>
      </c>
    </row>
    <row r="6" spans="1:4" x14ac:dyDescent="0.25">
      <c r="A6" s="338" t="s">
        <v>429</v>
      </c>
    </row>
    <row r="7" spans="1:4" x14ac:dyDescent="0.25">
      <c r="A7" s="307"/>
    </row>
    <row r="8" spans="1:4" x14ac:dyDescent="0.25">
      <c r="A8" s="307" t="s">
        <v>385</v>
      </c>
    </row>
    <row r="9" spans="1:4" ht="30" x14ac:dyDescent="0.25">
      <c r="A9" s="307" t="s">
        <v>386</v>
      </c>
    </row>
    <row r="10" spans="1:4" x14ac:dyDescent="0.25">
      <c r="A10" s="307" t="s">
        <v>387</v>
      </c>
    </row>
    <row r="11" spans="1:4" x14ac:dyDescent="0.25">
      <c r="A11" s="307" t="s">
        <v>388</v>
      </c>
    </row>
    <row r="12" spans="1:4" ht="30" x14ac:dyDescent="0.25">
      <c r="A12" s="307" t="s">
        <v>389</v>
      </c>
    </row>
    <row r="13" spans="1:4" x14ac:dyDescent="0.25">
      <c r="A13" s="307" t="s">
        <v>390</v>
      </c>
    </row>
    <row r="14" spans="1:4" ht="30" x14ac:dyDescent="0.25">
      <c r="A14" s="307" t="s">
        <v>423</v>
      </c>
    </row>
    <row r="15" spans="1:4" ht="30" x14ac:dyDescent="0.25">
      <c r="A15" s="307" t="s">
        <v>391</v>
      </c>
    </row>
    <row r="16" spans="1:4" ht="30" x14ac:dyDescent="0.25">
      <c r="A16" s="307" t="s">
        <v>392</v>
      </c>
    </row>
    <row r="17" spans="1:1" ht="30" x14ac:dyDescent="0.25">
      <c r="A17" s="307" t="s">
        <v>393</v>
      </c>
    </row>
    <row r="18" spans="1:1" ht="30" x14ac:dyDescent="0.25">
      <c r="A18" s="307" t="s">
        <v>394</v>
      </c>
    </row>
    <row r="19" spans="1:1" x14ac:dyDescent="0.25">
      <c r="A19" s="307" t="s">
        <v>395</v>
      </c>
    </row>
    <row r="20" spans="1:1" x14ac:dyDescent="0.25">
      <c r="A20" s="307"/>
    </row>
    <row r="21" spans="1:1" x14ac:dyDescent="0.25">
      <c r="A21" s="307"/>
    </row>
    <row r="22" spans="1:1" x14ac:dyDescent="0.25">
      <c r="A22" s="307"/>
    </row>
    <row r="23" spans="1:1" x14ac:dyDescent="0.25">
      <c r="A23" s="307"/>
    </row>
    <row r="24" spans="1:1" x14ac:dyDescent="0.25">
      <c r="A24" s="307"/>
    </row>
    <row r="25" spans="1:1" x14ac:dyDescent="0.25">
      <c r="A25" s="307"/>
    </row>
    <row r="26" spans="1:1" x14ac:dyDescent="0.25">
      <c r="A26" s="307"/>
    </row>
    <row r="27" spans="1:1" x14ac:dyDescent="0.25">
      <c r="A27" s="307"/>
    </row>
    <row r="28" spans="1:1" x14ac:dyDescent="0.25">
      <c r="A28" s="307"/>
    </row>
    <row r="29" spans="1:1" x14ac:dyDescent="0.25">
      <c r="A29" s="307"/>
    </row>
    <row r="30" spans="1:1" x14ac:dyDescent="0.25">
      <c r="A30" s="307"/>
    </row>
    <row r="31" spans="1:1" x14ac:dyDescent="0.25">
      <c r="A31" s="307"/>
    </row>
    <row r="32" spans="1:1" x14ac:dyDescent="0.25">
      <c r="A32" s="307"/>
    </row>
    <row r="33" spans="1:1" x14ac:dyDescent="0.25">
      <c r="A33" s="307"/>
    </row>
    <row r="34" spans="1:1" x14ac:dyDescent="0.25">
      <c r="A34" s="307"/>
    </row>
    <row r="35" spans="1:1" x14ac:dyDescent="0.25">
      <c r="A35" s="307"/>
    </row>
    <row r="36" spans="1:1" x14ac:dyDescent="0.25">
      <c r="A36" s="307"/>
    </row>
    <row r="37" spans="1:1" x14ac:dyDescent="0.25">
      <c r="A37" s="307"/>
    </row>
    <row r="38" spans="1:1" x14ac:dyDescent="0.25">
      <c r="A38" s="307"/>
    </row>
    <row r="39" spans="1:1" x14ac:dyDescent="0.25">
      <c r="A39" s="307"/>
    </row>
    <row r="40" spans="1:1" x14ac:dyDescent="0.25">
      <c r="A40" s="307"/>
    </row>
    <row r="41" spans="1:1" x14ac:dyDescent="0.25">
      <c r="A41" s="307"/>
    </row>
    <row r="42" spans="1:1" x14ac:dyDescent="0.25">
      <c r="A42" s="307"/>
    </row>
    <row r="43" spans="1:1" x14ac:dyDescent="0.25">
      <c r="A43" s="307"/>
    </row>
    <row r="44" spans="1:1" x14ac:dyDescent="0.25">
      <c r="A44" s="307"/>
    </row>
    <row r="45" spans="1:1" x14ac:dyDescent="0.25">
      <c r="A45" s="307"/>
    </row>
    <row r="46" spans="1:1" x14ac:dyDescent="0.25">
      <c r="A46" s="307"/>
    </row>
    <row r="47" spans="1:1" x14ac:dyDescent="0.25">
      <c r="A47" s="307"/>
    </row>
    <row r="48" spans="1:1" x14ac:dyDescent="0.25">
      <c r="A48" s="307"/>
    </row>
    <row r="49" spans="1:1" x14ac:dyDescent="0.25">
      <c r="A49" s="307"/>
    </row>
    <row r="50" spans="1:1" x14ac:dyDescent="0.25">
      <c r="A50" s="307"/>
    </row>
    <row r="51" spans="1:1" x14ac:dyDescent="0.25">
      <c r="A51" s="307"/>
    </row>
    <row r="52" spans="1:1" x14ac:dyDescent="0.25">
      <c r="A52" s="307"/>
    </row>
    <row r="53" spans="1:1" x14ac:dyDescent="0.25">
      <c r="A53" s="307"/>
    </row>
  </sheetData>
  <pageMargins left="0.39370078740157483" right="0.39370078740157483" top="0.39370078740157483" bottom="0.39370078740157483" header="0" footer="0"/>
  <pageSetup paperSize="9" orientation="portrait" horizontalDpi="3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0"/>
  <sheetViews>
    <sheetView zoomScaleNormal="100" workbookViewId="0">
      <selection activeCell="D12" sqref="D12"/>
    </sheetView>
  </sheetViews>
  <sheetFormatPr defaultRowHeight="15" x14ac:dyDescent="0.25"/>
  <cols>
    <col min="1" max="1" width="91.5703125" style="12" customWidth="1"/>
    <col min="2" max="16384" width="9.140625" style="12"/>
  </cols>
  <sheetData>
    <row r="1" spans="1:4" ht="21" x14ac:dyDescent="0.35">
      <c r="A1" s="339" t="str">
        <f ca="1">INDIRECT(ADDRESS(D1,1,,,"Общее"))</f>
        <v>ДС-2 РУ Финиш</v>
      </c>
      <c r="C1" s="14" t="s">
        <v>153</v>
      </c>
      <c r="D1" s="14">
        <v>18</v>
      </c>
    </row>
    <row r="2" spans="1:4" x14ac:dyDescent="0.25">
      <c r="A2" s="338" t="str">
        <f ca="1">INDIRECT(ADDRESS($D$1,14,,,"Общее"))&amp;" / "&amp;INDIRECT(ADDRESS($D$1,15,,,"Общее"))</f>
        <v>54.873287, 32.224934 / N 54 52.397 E 32 13.496</v>
      </c>
    </row>
    <row r="3" spans="1:4" ht="30" customHeight="1" x14ac:dyDescent="0.25">
      <c r="A3" s="340" t="str">
        <f ca="1">INDIRECT(ADDRESS($D$1,16,,,"Общее"))</f>
        <v>окружная дорога, поворот на Ковалево/Михейково</v>
      </c>
    </row>
    <row r="4" spans="1:4" x14ac:dyDescent="0.25">
      <c r="A4" s="338" t="str">
        <f ca="1">"Щиты: "&amp;INDIRECT(ADDRESS($D$1,13,,,"Общее"))</f>
        <v>Щиты: Клетчатый кр. фл.</v>
      </c>
    </row>
    <row r="5" spans="1:4" x14ac:dyDescent="0.25">
      <c r="A5" s="338" t="str">
        <f ca="1">"Экипажи будут ехать "&amp;INDIRECT(ADDRESS($D$1,17,,,"Общее"))</f>
        <v>Экипажи будут ехать в сторону окружной</v>
      </c>
    </row>
    <row r="6" spans="1:4" x14ac:dyDescent="0.25">
      <c r="A6" s="338" t="s">
        <v>429</v>
      </c>
    </row>
    <row r="7" spans="1:4" x14ac:dyDescent="0.25">
      <c r="A7" s="307"/>
    </row>
    <row r="8" spans="1:4" x14ac:dyDescent="0.25">
      <c r="A8" s="307" t="s">
        <v>385</v>
      </c>
    </row>
    <row r="9" spans="1:4" x14ac:dyDescent="0.25">
      <c r="A9" s="307" t="s">
        <v>396</v>
      </c>
    </row>
    <row r="10" spans="1:4" x14ac:dyDescent="0.25">
      <c r="A10" s="307" t="s">
        <v>387</v>
      </c>
    </row>
    <row r="11" spans="1:4" ht="45" x14ac:dyDescent="0.25">
      <c r="A11" s="307" t="s">
        <v>410</v>
      </c>
    </row>
    <row r="12" spans="1:4" ht="30" x14ac:dyDescent="0.25">
      <c r="A12" s="307" t="s">
        <v>413</v>
      </c>
    </row>
    <row r="13" spans="1:4" x14ac:dyDescent="0.25">
      <c r="A13" s="307" t="s">
        <v>412</v>
      </c>
    </row>
    <row r="14" spans="1:4" ht="30" x14ac:dyDescent="0.25">
      <c r="A14" s="307" t="s">
        <v>399</v>
      </c>
    </row>
    <row r="15" spans="1:4" ht="30" x14ac:dyDescent="0.25">
      <c r="A15" s="307" t="s">
        <v>400</v>
      </c>
    </row>
    <row r="16" spans="1:4" x14ac:dyDescent="0.25">
      <c r="A16" s="307" t="s">
        <v>401</v>
      </c>
    </row>
    <row r="17" spans="1:1" x14ac:dyDescent="0.25">
      <c r="A17" s="307"/>
    </row>
    <row r="18" spans="1:1" x14ac:dyDescent="0.25">
      <c r="A18" s="307"/>
    </row>
    <row r="19" spans="1:1" x14ac:dyDescent="0.25">
      <c r="A19" s="307"/>
    </row>
    <row r="20" spans="1:1" x14ac:dyDescent="0.25">
      <c r="A20" s="307"/>
    </row>
    <row r="21" spans="1:1" x14ac:dyDescent="0.25">
      <c r="A21" s="307"/>
    </row>
    <row r="22" spans="1:1" x14ac:dyDescent="0.25">
      <c r="A22" s="307"/>
    </row>
    <row r="23" spans="1:1" x14ac:dyDescent="0.25">
      <c r="A23" s="307"/>
    </row>
    <row r="24" spans="1:1" x14ac:dyDescent="0.25">
      <c r="A24" s="307"/>
    </row>
    <row r="25" spans="1:1" x14ac:dyDescent="0.25">
      <c r="A25" s="307"/>
    </row>
    <row r="26" spans="1:1" x14ac:dyDescent="0.25">
      <c r="A26" s="307"/>
    </row>
    <row r="27" spans="1:1" x14ac:dyDescent="0.25">
      <c r="A27" s="307"/>
    </row>
    <row r="28" spans="1:1" x14ac:dyDescent="0.25">
      <c r="A28" s="307"/>
    </row>
    <row r="29" spans="1:1" x14ac:dyDescent="0.25">
      <c r="A29" s="307"/>
    </row>
    <row r="30" spans="1:1" x14ac:dyDescent="0.25">
      <c r="A30" s="307"/>
    </row>
    <row r="31" spans="1:1" x14ac:dyDescent="0.25">
      <c r="A31" s="307"/>
    </row>
    <row r="32" spans="1:1" x14ac:dyDescent="0.25">
      <c r="A32" s="307"/>
    </row>
    <row r="33" spans="1:1" x14ac:dyDescent="0.25">
      <c r="A33" s="307"/>
    </row>
    <row r="34" spans="1:1" x14ac:dyDescent="0.25">
      <c r="A34" s="307"/>
    </row>
    <row r="35" spans="1:1" x14ac:dyDescent="0.25">
      <c r="A35" s="307"/>
    </row>
    <row r="36" spans="1:1" x14ac:dyDescent="0.25">
      <c r="A36" s="307"/>
    </row>
    <row r="37" spans="1:1" x14ac:dyDescent="0.25">
      <c r="A37" s="307"/>
    </row>
    <row r="38" spans="1:1" x14ac:dyDescent="0.25">
      <c r="A38" s="307"/>
    </row>
    <row r="39" spans="1:1" x14ac:dyDescent="0.25">
      <c r="A39" s="307"/>
    </row>
    <row r="40" spans="1:1" x14ac:dyDescent="0.25">
      <c r="A40" s="307"/>
    </row>
    <row r="41" spans="1:1" x14ac:dyDescent="0.25">
      <c r="A41" s="307"/>
    </row>
    <row r="42" spans="1:1" x14ac:dyDescent="0.25">
      <c r="A42" s="307"/>
    </row>
    <row r="43" spans="1:1" x14ac:dyDescent="0.25">
      <c r="A43" s="307"/>
    </row>
    <row r="44" spans="1:1" x14ac:dyDescent="0.25">
      <c r="A44" s="307"/>
    </row>
    <row r="45" spans="1:1" x14ac:dyDescent="0.25">
      <c r="A45" s="307"/>
    </row>
    <row r="46" spans="1:1" x14ac:dyDescent="0.25">
      <c r="A46" s="307"/>
    </row>
    <row r="47" spans="1:1" x14ac:dyDescent="0.25">
      <c r="A47" s="307"/>
    </row>
    <row r="48" spans="1:1" x14ac:dyDescent="0.25">
      <c r="A48" s="307"/>
    </row>
    <row r="49" spans="1:1" x14ac:dyDescent="0.25">
      <c r="A49" s="307"/>
    </row>
    <row r="50" spans="1:1" x14ac:dyDescent="0.25">
      <c r="A50" s="307"/>
    </row>
  </sheetData>
  <pageMargins left="0.39370078740157483" right="0.39370078740157483" top="0.39370078740157483" bottom="0.39370078740157483" header="0" footer="0"/>
  <pageSetup paperSize="9" orientation="portrait" horizontalDpi="30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2"/>
  <sheetViews>
    <sheetView zoomScaleNormal="100" workbookViewId="0"/>
  </sheetViews>
  <sheetFormatPr defaultRowHeight="15" x14ac:dyDescent="0.25"/>
  <cols>
    <col min="1" max="1" width="91.5703125" style="12" customWidth="1"/>
    <col min="2" max="16384" width="9.140625" style="12"/>
  </cols>
  <sheetData>
    <row r="1" spans="1:4" ht="21" x14ac:dyDescent="0.35">
      <c r="A1" s="339" t="str">
        <f ca="1">INDIRECT(ADDRESS(D1,1,,,"Общее"))</f>
        <v>КВ-2 Окружная</v>
      </c>
      <c r="C1" s="14" t="s">
        <v>153</v>
      </c>
      <c r="D1" s="14">
        <v>19</v>
      </c>
    </row>
    <row r="2" spans="1:4" x14ac:dyDescent="0.25">
      <c r="A2" s="338" t="str">
        <f ca="1">INDIRECT(ADDRESS($D$1,14,,,"Общее"))&amp;" / "&amp;INDIRECT(ADDRESS($D$1,15,,,"Общее"))</f>
        <v>54.849117, 32.251623 / N 54 50.947 E 32 15.097</v>
      </c>
    </row>
    <row r="3" spans="1:4" ht="30" customHeight="1" x14ac:dyDescent="0.25">
      <c r="A3" s="340" t="str">
        <f ca="1">INDIRECT(ADDRESS($D$1,16,,,"Общее"))</f>
        <v>окружная дорога, перед пересечением со Старой смоленской, возле щита со схемой развязки</v>
      </c>
    </row>
    <row r="4" spans="1:4" x14ac:dyDescent="0.25">
      <c r="A4" s="338" t="str">
        <f ca="1">"Щиты: "&amp;INDIRECT(ADDRESS($D$1,13,,,"Общее"))</f>
        <v>Щиты: Часы желт., Часы красн.</v>
      </c>
    </row>
    <row r="5" spans="1:4" x14ac:dyDescent="0.25">
      <c r="A5" s="338" t="str">
        <f ca="1">"Экипажи будут ехать "&amp;INDIRECT(ADDRESS($D$1,17,,,"Общее"))</f>
        <v>Экипажи будут ехать с М1 в сторону Старой смоленской</v>
      </c>
    </row>
    <row r="6" spans="1:4" x14ac:dyDescent="0.25">
      <c r="A6" s="338" t="s">
        <v>429</v>
      </c>
    </row>
    <row r="7" spans="1:4" x14ac:dyDescent="0.25">
      <c r="A7" s="307"/>
    </row>
    <row r="8" spans="1:4" x14ac:dyDescent="0.25">
      <c r="A8" s="307" t="s">
        <v>385</v>
      </c>
    </row>
    <row r="9" spans="1:4" ht="30" x14ac:dyDescent="0.25">
      <c r="A9" s="307" t="s">
        <v>386</v>
      </c>
    </row>
    <row r="10" spans="1:4" x14ac:dyDescent="0.25">
      <c r="A10" s="307" t="s">
        <v>387</v>
      </c>
    </row>
    <row r="11" spans="1:4" x14ac:dyDescent="0.25">
      <c r="A11" s="307" t="s">
        <v>388</v>
      </c>
    </row>
    <row r="12" spans="1:4" ht="30" x14ac:dyDescent="0.25">
      <c r="A12" s="307" t="s">
        <v>389</v>
      </c>
    </row>
    <row r="13" spans="1:4" x14ac:dyDescent="0.25">
      <c r="A13" s="307" t="s">
        <v>390</v>
      </c>
    </row>
    <row r="14" spans="1:4" ht="30" x14ac:dyDescent="0.25">
      <c r="A14" s="307" t="s">
        <v>424</v>
      </c>
    </row>
    <row r="15" spans="1:4" x14ac:dyDescent="0.25">
      <c r="A15" s="307" t="s">
        <v>425</v>
      </c>
    </row>
    <row r="16" spans="1:4" ht="30" x14ac:dyDescent="0.25">
      <c r="A16" s="307" t="s">
        <v>426</v>
      </c>
    </row>
    <row r="17" spans="1:1" ht="30" x14ac:dyDescent="0.25">
      <c r="A17" s="307" t="s">
        <v>427</v>
      </c>
    </row>
    <row r="18" spans="1:1" x14ac:dyDescent="0.25">
      <c r="A18" s="307" t="s">
        <v>428</v>
      </c>
    </row>
    <row r="19" spans="1:1" x14ac:dyDescent="0.25">
      <c r="A19" s="307"/>
    </row>
    <row r="20" spans="1:1" x14ac:dyDescent="0.25">
      <c r="A20" s="307"/>
    </row>
    <row r="21" spans="1:1" x14ac:dyDescent="0.25">
      <c r="A21" s="307"/>
    </row>
    <row r="22" spans="1:1" x14ac:dyDescent="0.25">
      <c r="A22" s="307"/>
    </row>
    <row r="23" spans="1:1" x14ac:dyDescent="0.25">
      <c r="A23" s="307"/>
    </row>
    <row r="24" spans="1:1" x14ac:dyDescent="0.25">
      <c r="A24" s="307"/>
    </row>
    <row r="25" spans="1:1" x14ac:dyDescent="0.25">
      <c r="A25" s="307"/>
    </row>
    <row r="26" spans="1:1" x14ac:dyDescent="0.25">
      <c r="A26" s="307"/>
    </row>
    <row r="27" spans="1:1" x14ac:dyDescent="0.25">
      <c r="A27" s="307"/>
    </row>
    <row r="28" spans="1:1" x14ac:dyDescent="0.25">
      <c r="A28" s="307"/>
    </row>
    <row r="29" spans="1:1" x14ac:dyDescent="0.25">
      <c r="A29" s="307"/>
    </row>
    <row r="30" spans="1:1" x14ac:dyDescent="0.25">
      <c r="A30" s="307"/>
    </row>
    <row r="31" spans="1:1" x14ac:dyDescent="0.25">
      <c r="A31" s="307"/>
    </row>
    <row r="32" spans="1:1" x14ac:dyDescent="0.25">
      <c r="A32" s="307"/>
    </row>
    <row r="33" spans="1:1" x14ac:dyDescent="0.25">
      <c r="A33" s="307"/>
    </row>
    <row r="34" spans="1:1" x14ac:dyDescent="0.25">
      <c r="A34" s="307"/>
    </row>
    <row r="35" spans="1:1" x14ac:dyDescent="0.25">
      <c r="A35" s="307"/>
    </row>
    <row r="36" spans="1:1" x14ac:dyDescent="0.25">
      <c r="A36" s="307"/>
    </row>
    <row r="37" spans="1:1" x14ac:dyDescent="0.25">
      <c r="A37" s="307"/>
    </row>
    <row r="38" spans="1:1" x14ac:dyDescent="0.25">
      <c r="A38" s="307"/>
    </row>
    <row r="39" spans="1:1" x14ac:dyDescent="0.25">
      <c r="A39" s="307"/>
    </row>
    <row r="40" spans="1:1" x14ac:dyDescent="0.25">
      <c r="A40" s="307"/>
    </row>
    <row r="41" spans="1:1" x14ac:dyDescent="0.25">
      <c r="A41" s="307"/>
    </row>
    <row r="42" spans="1:1" x14ac:dyDescent="0.25">
      <c r="A42" s="307"/>
    </row>
    <row r="43" spans="1:1" x14ac:dyDescent="0.25">
      <c r="A43" s="307"/>
    </row>
    <row r="44" spans="1:1" x14ac:dyDescent="0.25">
      <c r="A44" s="307"/>
    </row>
    <row r="45" spans="1:1" x14ac:dyDescent="0.25">
      <c r="A45" s="307"/>
    </row>
    <row r="46" spans="1:1" x14ac:dyDescent="0.25">
      <c r="A46" s="307"/>
    </row>
    <row r="47" spans="1:1" x14ac:dyDescent="0.25">
      <c r="A47" s="307"/>
    </row>
    <row r="48" spans="1:1" x14ac:dyDescent="0.25">
      <c r="A48" s="307"/>
    </row>
    <row r="49" spans="1:1" x14ac:dyDescent="0.25">
      <c r="A49" s="307"/>
    </row>
    <row r="50" spans="1:1" x14ac:dyDescent="0.25">
      <c r="A50" s="307"/>
    </row>
    <row r="51" spans="1:1" x14ac:dyDescent="0.25">
      <c r="A51" s="307"/>
    </row>
    <row r="52" spans="1:1" x14ac:dyDescent="0.25">
      <c r="A52" s="307"/>
    </row>
  </sheetData>
  <pageMargins left="0.39370078740157483" right="0.39370078740157483" top="0.39370078740157483" bottom="0.39370078740157483" header="0" footer="0"/>
  <pageSetup paperSize="9" orientation="portrait" horizontalDpi="30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0"/>
  <sheetViews>
    <sheetView zoomScaleNormal="100" workbookViewId="0">
      <selection activeCell="D12" sqref="D12"/>
    </sheetView>
  </sheetViews>
  <sheetFormatPr defaultRowHeight="15" x14ac:dyDescent="0.25"/>
  <cols>
    <col min="1" max="1" width="91.5703125" style="12" customWidth="1"/>
    <col min="2" max="16384" width="9.140625" style="12"/>
  </cols>
  <sheetData>
    <row r="1" spans="1:4" ht="21" x14ac:dyDescent="0.35">
      <c r="A1" s="339" t="str">
        <f ca="1">INDIRECT(ADDRESS(D1,1,,,"Общее"))</f>
        <v>ДС-3 РД Финиш</v>
      </c>
      <c r="C1" s="14">
        <v>0</v>
      </c>
      <c r="D1" s="14">
        <v>23</v>
      </c>
    </row>
    <row r="2" spans="1:4" x14ac:dyDescent="0.25">
      <c r="A2" s="338" t="str">
        <f ca="1">INDIRECT(ADDRESS($D$1,14,,,"Общее"))&amp;" / "&amp;INDIRECT(ADDRESS($D$1,15,,,"Общее"))</f>
        <v>54.840103, 32.253215 / N 54 50.406 E 32 15.193</v>
      </c>
    </row>
    <row r="3" spans="1:4" ht="30" customHeight="1" x14ac:dyDescent="0.25">
      <c r="A3" s="340" t="str">
        <f ca="1">INDIRECT(ADDRESS($D$1,16,,,"Общее"))</f>
        <v>едем по окружной, прямо перед пересечением со Старой смоленской поворот направо на грунт, через 160 м ответвление</v>
      </c>
    </row>
    <row r="4" spans="1:4" x14ac:dyDescent="0.25">
      <c r="A4" s="338" t="str">
        <f ca="1">"Щиты: "&amp;INDIRECT(ADDRESS($D$1,13,,,"Общее"))</f>
        <v>Щиты: Клетчатый кр. фл.</v>
      </c>
    </row>
    <row r="5" spans="1:4" x14ac:dyDescent="0.25">
      <c r="A5" s="338" t="str">
        <f ca="1">"Экипажи будут ехать "&amp;INDIRECT(ADDRESS($D$1,17,,,"Общее"))</f>
        <v>Экипажи будут ехать в сторону окружной</v>
      </c>
    </row>
    <row r="6" spans="1:4" x14ac:dyDescent="0.25">
      <c r="A6" s="338" t="s">
        <v>429</v>
      </c>
    </row>
    <row r="7" spans="1:4" x14ac:dyDescent="0.25">
      <c r="A7" s="307"/>
    </row>
    <row r="8" spans="1:4" x14ac:dyDescent="0.25">
      <c r="A8" s="307" t="s">
        <v>385</v>
      </c>
    </row>
    <row r="9" spans="1:4" x14ac:dyDescent="0.25">
      <c r="A9" s="307" t="s">
        <v>396</v>
      </c>
    </row>
    <row r="10" spans="1:4" x14ac:dyDescent="0.25">
      <c r="A10" s="307" t="s">
        <v>387</v>
      </c>
    </row>
    <row r="11" spans="1:4" ht="45" x14ac:dyDescent="0.25">
      <c r="A11" s="307" t="s">
        <v>410</v>
      </c>
    </row>
    <row r="12" spans="1:4" ht="30" x14ac:dyDescent="0.25">
      <c r="A12" s="307" t="s">
        <v>411</v>
      </c>
    </row>
    <row r="13" spans="1:4" x14ac:dyDescent="0.25">
      <c r="A13" s="307" t="s">
        <v>412</v>
      </c>
    </row>
    <row r="14" spans="1:4" ht="30" x14ac:dyDescent="0.25">
      <c r="A14" s="307" t="s">
        <v>399</v>
      </c>
    </row>
    <row r="15" spans="1:4" ht="30" x14ac:dyDescent="0.25">
      <c r="A15" s="307" t="s">
        <v>400</v>
      </c>
    </row>
    <row r="16" spans="1:4" x14ac:dyDescent="0.25">
      <c r="A16" s="307" t="s">
        <v>401</v>
      </c>
    </row>
    <row r="17" spans="1:1" x14ac:dyDescent="0.25">
      <c r="A17" s="307"/>
    </row>
    <row r="18" spans="1:1" x14ac:dyDescent="0.25">
      <c r="A18" s="307"/>
    </row>
    <row r="19" spans="1:1" x14ac:dyDescent="0.25">
      <c r="A19" s="307"/>
    </row>
    <row r="20" spans="1:1" x14ac:dyDescent="0.25">
      <c r="A20" s="307"/>
    </row>
    <row r="21" spans="1:1" x14ac:dyDescent="0.25">
      <c r="A21" s="307"/>
    </row>
    <row r="22" spans="1:1" x14ac:dyDescent="0.25">
      <c r="A22" s="307"/>
    </row>
    <row r="23" spans="1:1" x14ac:dyDescent="0.25">
      <c r="A23" s="307"/>
    </row>
    <row r="24" spans="1:1" x14ac:dyDescent="0.25">
      <c r="A24" s="307"/>
    </row>
    <row r="25" spans="1:1" x14ac:dyDescent="0.25">
      <c r="A25" s="307"/>
    </row>
    <row r="26" spans="1:1" x14ac:dyDescent="0.25">
      <c r="A26" s="307"/>
    </row>
    <row r="27" spans="1:1" x14ac:dyDescent="0.25">
      <c r="A27" s="307"/>
    </row>
    <row r="28" spans="1:1" x14ac:dyDescent="0.25">
      <c r="A28" s="307"/>
    </row>
    <row r="29" spans="1:1" x14ac:dyDescent="0.25">
      <c r="A29" s="307"/>
    </row>
    <row r="30" spans="1:1" x14ac:dyDescent="0.25">
      <c r="A30" s="307"/>
    </row>
    <row r="31" spans="1:1" x14ac:dyDescent="0.25">
      <c r="A31" s="307"/>
    </row>
    <row r="32" spans="1:1" x14ac:dyDescent="0.25">
      <c r="A32" s="307"/>
    </row>
    <row r="33" spans="1:1" x14ac:dyDescent="0.25">
      <c r="A33" s="307"/>
    </row>
    <row r="34" spans="1:1" x14ac:dyDescent="0.25">
      <c r="A34" s="307"/>
    </row>
    <row r="35" spans="1:1" x14ac:dyDescent="0.25">
      <c r="A35" s="307"/>
    </row>
    <row r="36" spans="1:1" x14ac:dyDescent="0.25">
      <c r="A36" s="307"/>
    </row>
    <row r="37" spans="1:1" x14ac:dyDescent="0.25">
      <c r="A37" s="307"/>
    </row>
    <row r="38" spans="1:1" x14ac:dyDescent="0.25">
      <c r="A38" s="307"/>
    </row>
    <row r="39" spans="1:1" x14ac:dyDescent="0.25">
      <c r="A39" s="307"/>
    </row>
    <row r="40" spans="1:1" x14ac:dyDescent="0.25">
      <c r="A40" s="307"/>
    </row>
    <row r="41" spans="1:1" x14ac:dyDescent="0.25">
      <c r="A41" s="307"/>
    </row>
    <row r="42" spans="1:1" x14ac:dyDescent="0.25">
      <c r="A42" s="307"/>
    </row>
    <row r="43" spans="1:1" x14ac:dyDescent="0.25">
      <c r="A43" s="307"/>
    </row>
    <row r="44" spans="1:1" x14ac:dyDescent="0.25">
      <c r="A44" s="307"/>
    </row>
    <row r="45" spans="1:1" x14ac:dyDescent="0.25">
      <c r="A45" s="307"/>
    </row>
    <row r="46" spans="1:1" x14ac:dyDescent="0.25">
      <c r="A46" s="307"/>
    </row>
    <row r="47" spans="1:1" x14ac:dyDescent="0.25">
      <c r="A47" s="307"/>
    </row>
    <row r="48" spans="1:1" x14ac:dyDescent="0.25">
      <c r="A48" s="307"/>
    </row>
    <row r="49" spans="1:1" x14ac:dyDescent="0.25">
      <c r="A49" s="307"/>
    </row>
    <row r="50" spans="1:1" x14ac:dyDescent="0.25">
      <c r="A50" s="307"/>
    </row>
  </sheetData>
  <pageMargins left="0.39370078740157483" right="0.39370078740157483" top="0.39370078740157483" bottom="0.39370078740157483" header="0" footer="0"/>
  <pageSetup paperSize="9" orientation="portrait" horizont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6"/>
  <sheetViews>
    <sheetView tabSelected="1" view="pageBreakPreview" zoomScaleNormal="100" zoomScaleSheetLayoutView="100" workbookViewId="0">
      <pane xSplit="2" ySplit="4" topLeftCell="C5" activePane="bottomRight" state="frozen"/>
      <selection pane="topRight"/>
      <selection pane="bottomLeft"/>
      <selection pane="bottomRight" activeCell="C5" sqref="C5"/>
    </sheetView>
  </sheetViews>
  <sheetFormatPr defaultRowHeight="15" x14ac:dyDescent="0.25"/>
  <cols>
    <col min="1" max="1" width="6.7109375" style="12" customWidth="1"/>
    <col min="2" max="2" width="3.7109375" style="12" customWidth="1"/>
    <col min="3" max="3" width="0.85546875" style="12" customWidth="1"/>
    <col min="4" max="7" width="18.7109375" style="12" customWidth="1"/>
    <col min="8" max="11" width="7.28515625" style="12" customWidth="1"/>
    <col min="12" max="12" width="20.7109375" style="12" customWidth="1"/>
    <col min="13" max="39" width="7.28515625" style="12" customWidth="1"/>
    <col min="40" max="40" width="7.28515625" style="12" hidden="1" customWidth="1"/>
    <col min="41" max="41" width="9.140625" style="12" customWidth="1"/>
    <col min="42" max="43" width="7.28515625" style="12" customWidth="1"/>
    <col min="44" max="45" width="8.7109375" style="12" customWidth="1"/>
    <col min="46" max="48" width="7.28515625" style="12" customWidth="1"/>
    <col min="49" max="49" width="7.28515625" style="12" hidden="1" customWidth="1"/>
    <col min="50" max="53" width="7.28515625" style="12" customWidth="1"/>
    <col min="54" max="55" width="8.7109375" style="12" customWidth="1"/>
    <col min="56" max="58" width="7.28515625" style="12" customWidth="1"/>
    <col min="59" max="59" width="7.28515625" style="12" hidden="1" customWidth="1"/>
    <col min="60" max="62" width="7.28515625" style="12" customWidth="1"/>
    <col min="63" max="64" width="8.7109375" style="12" customWidth="1"/>
    <col min="65" max="67" width="7.28515625" style="12" customWidth="1"/>
    <col min="68" max="71" width="7.28515625" style="12" hidden="1" customWidth="1"/>
    <col min="72" max="72" width="7.28515625" style="12" customWidth="1"/>
    <col min="73" max="73" width="7.28515625" style="12" hidden="1" customWidth="1"/>
    <col min="74" max="78" width="7.28515625" style="12" customWidth="1"/>
    <col min="79" max="80" width="20.7109375" style="12" customWidth="1"/>
    <col min="81" max="84" width="7.28515625" style="12" customWidth="1"/>
    <col min="85" max="86" width="9.140625" style="12"/>
    <col min="87" max="95" width="7.28515625" style="12" customWidth="1"/>
    <col min="96" max="96" width="9.140625" style="12"/>
    <col min="97" max="97" width="9.140625" style="12" customWidth="1"/>
    <col min="98" max="266" width="9.140625" style="12"/>
    <col min="267" max="267" width="18.7109375" style="12" customWidth="1"/>
    <col min="268" max="268" width="18.140625" style="12" customWidth="1"/>
    <col min="269" max="269" width="8.7109375" style="12" customWidth="1"/>
    <col min="270" max="270" width="9.140625" style="12"/>
    <col min="271" max="271" width="9.140625" style="12" customWidth="1"/>
    <col min="272" max="272" width="27.28515625" style="12" customWidth="1"/>
    <col min="273" max="308" width="9.140625" style="12" customWidth="1"/>
    <col min="309" max="522" width="9.140625" style="12"/>
    <col min="523" max="523" width="18.7109375" style="12" customWidth="1"/>
    <col min="524" max="524" width="18.140625" style="12" customWidth="1"/>
    <col min="525" max="525" width="8.7109375" style="12" customWidth="1"/>
    <col min="526" max="526" width="9.140625" style="12"/>
    <col min="527" max="527" width="9.140625" style="12" customWidth="1"/>
    <col min="528" max="528" width="27.28515625" style="12" customWidth="1"/>
    <col min="529" max="564" width="9.140625" style="12" customWidth="1"/>
    <col min="565" max="778" width="9.140625" style="12"/>
    <col min="779" max="779" width="18.7109375" style="12" customWidth="1"/>
    <col min="780" max="780" width="18.140625" style="12" customWidth="1"/>
    <col min="781" max="781" width="8.7109375" style="12" customWidth="1"/>
    <col min="782" max="782" width="9.140625" style="12"/>
    <col min="783" max="783" width="9.140625" style="12" customWidth="1"/>
    <col min="784" max="784" width="27.28515625" style="12" customWidth="1"/>
    <col min="785" max="820" width="9.140625" style="12" customWidth="1"/>
    <col min="821" max="1034" width="9.140625" style="12"/>
    <col min="1035" max="1035" width="18.7109375" style="12" customWidth="1"/>
    <col min="1036" max="1036" width="18.140625" style="12" customWidth="1"/>
    <col min="1037" max="1037" width="8.7109375" style="12" customWidth="1"/>
    <col min="1038" max="1038" width="9.140625" style="12"/>
    <col min="1039" max="1039" width="9.140625" style="12" customWidth="1"/>
    <col min="1040" max="1040" width="27.28515625" style="12" customWidth="1"/>
    <col min="1041" max="1076" width="9.140625" style="12" customWidth="1"/>
    <col min="1077" max="1290" width="9.140625" style="12"/>
    <col min="1291" max="1291" width="18.7109375" style="12" customWidth="1"/>
    <col min="1292" max="1292" width="18.140625" style="12" customWidth="1"/>
    <col min="1293" max="1293" width="8.7109375" style="12" customWidth="1"/>
    <col min="1294" max="1294" width="9.140625" style="12"/>
    <col min="1295" max="1295" width="9.140625" style="12" customWidth="1"/>
    <col min="1296" max="1296" width="27.28515625" style="12" customWidth="1"/>
    <col min="1297" max="1332" width="9.140625" style="12" customWidth="1"/>
    <col min="1333" max="1546" width="9.140625" style="12"/>
    <col min="1547" max="1547" width="18.7109375" style="12" customWidth="1"/>
    <col min="1548" max="1548" width="18.140625" style="12" customWidth="1"/>
    <col min="1549" max="1549" width="8.7109375" style="12" customWidth="1"/>
    <col min="1550" max="1550" width="9.140625" style="12"/>
    <col min="1551" max="1551" width="9.140625" style="12" customWidth="1"/>
    <col min="1552" max="1552" width="27.28515625" style="12" customWidth="1"/>
    <col min="1553" max="1588" width="9.140625" style="12" customWidth="1"/>
    <col min="1589" max="1802" width="9.140625" style="12"/>
    <col min="1803" max="1803" width="18.7109375" style="12" customWidth="1"/>
    <col min="1804" max="1804" width="18.140625" style="12" customWidth="1"/>
    <col min="1805" max="1805" width="8.7109375" style="12" customWidth="1"/>
    <col min="1806" max="1806" width="9.140625" style="12"/>
    <col min="1807" max="1807" width="9.140625" style="12" customWidth="1"/>
    <col min="1808" max="1808" width="27.28515625" style="12" customWidth="1"/>
    <col min="1809" max="1844" width="9.140625" style="12" customWidth="1"/>
    <col min="1845" max="2058" width="9.140625" style="12"/>
    <col min="2059" max="2059" width="18.7109375" style="12" customWidth="1"/>
    <col min="2060" max="2060" width="18.140625" style="12" customWidth="1"/>
    <col min="2061" max="2061" width="8.7109375" style="12" customWidth="1"/>
    <col min="2062" max="2062" width="9.140625" style="12"/>
    <col min="2063" max="2063" width="9.140625" style="12" customWidth="1"/>
    <col min="2064" max="2064" width="27.28515625" style="12" customWidth="1"/>
    <col min="2065" max="2100" width="9.140625" style="12" customWidth="1"/>
    <col min="2101" max="2314" width="9.140625" style="12"/>
    <col min="2315" max="2315" width="18.7109375" style="12" customWidth="1"/>
    <col min="2316" max="2316" width="18.140625" style="12" customWidth="1"/>
    <col min="2317" max="2317" width="8.7109375" style="12" customWidth="1"/>
    <col min="2318" max="2318" width="9.140625" style="12"/>
    <col min="2319" max="2319" width="9.140625" style="12" customWidth="1"/>
    <col min="2320" max="2320" width="27.28515625" style="12" customWidth="1"/>
    <col min="2321" max="2356" width="9.140625" style="12" customWidth="1"/>
    <col min="2357" max="2570" width="9.140625" style="12"/>
    <col min="2571" max="2571" width="18.7109375" style="12" customWidth="1"/>
    <col min="2572" max="2572" width="18.140625" style="12" customWidth="1"/>
    <col min="2573" max="2573" width="8.7109375" style="12" customWidth="1"/>
    <col min="2574" max="2574" width="9.140625" style="12"/>
    <col min="2575" max="2575" width="9.140625" style="12" customWidth="1"/>
    <col min="2576" max="2576" width="27.28515625" style="12" customWidth="1"/>
    <col min="2577" max="2612" width="9.140625" style="12" customWidth="1"/>
    <col min="2613" max="2826" width="9.140625" style="12"/>
    <col min="2827" max="2827" width="18.7109375" style="12" customWidth="1"/>
    <col min="2828" max="2828" width="18.140625" style="12" customWidth="1"/>
    <col min="2829" max="2829" width="8.7109375" style="12" customWidth="1"/>
    <col min="2830" max="2830" width="9.140625" style="12"/>
    <col min="2831" max="2831" width="9.140625" style="12" customWidth="1"/>
    <col min="2832" max="2832" width="27.28515625" style="12" customWidth="1"/>
    <col min="2833" max="2868" width="9.140625" style="12" customWidth="1"/>
    <col min="2869" max="3082" width="9.140625" style="12"/>
    <col min="3083" max="3083" width="18.7109375" style="12" customWidth="1"/>
    <col min="3084" max="3084" width="18.140625" style="12" customWidth="1"/>
    <col min="3085" max="3085" width="8.7109375" style="12" customWidth="1"/>
    <col min="3086" max="3086" width="9.140625" style="12"/>
    <col min="3087" max="3087" width="9.140625" style="12" customWidth="1"/>
    <col min="3088" max="3088" width="27.28515625" style="12" customWidth="1"/>
    <col min="3089" max="3124" width="9.140625" style="12" customWidth="1"/>
    <col min="3125" max="3338" width="9.140625" style="12"/>
    <col min="3339" max="3339" width="18.7109375" style="12" customWidth="1"/>
    <col min="3340" max="3340" width="18.140625" style="12" customWidth="1"/>
    <col min="3341" max="3341" width="8.7109375" style="12" customWidth="1"/>
    <col min="3342" max="3342" width="9.140625" style="12"/>
    <col min="3343" max="3343" width="9.140625" style="12" customWidth="1"/>
    <col min="3344" max="3344" width="27.28515625" style="12" customWidth="1"/>
    <col min="3345" max="3380" width="9.140625" style="12" customWidth="1"/>
    <col min="3381" max="3594" width="9.140625" style="12"/>
    <col min="3595" max="3595" width="18.7109375" style="12" customWidth="1"/>
    <col min="3596" max="3596" width="18.140625" style="12" customWidth="1"/>
    <col min="3597" max="3597" width="8.7109375" style="12" customWidth="1"/>
    <col min="3598" max="3598" width="9.140625" style="12"/>
    <col min="3599" max="3599" width="9.140625" style="12" customWidth="1"/>
    <col min="3600" max="3600" width="27.28515625" style="12" customWidth="1"/>
    <col min="3601" max="3636" width="9.140625" style="12" customWidth="1"/>
    <col min="3637" max="3850" width="9.140625" style="12"/>
    <col min="3851" max="3851" width="18.7109375" style="12" customWidth="1"/>
    <col min="3852" max="3852" width="18.140625" style="12" customWidth="1"/>
    <col min="3853" max="3853" width="8.7109375" style="12" customWidth="1"/>
    <col min="3854" max="3854" width="9.140625" style="12"/>
    <col min="3855" max="3855" width="9.140625" style="12" customWidth="1"/>
    <col min="3856" max="3856" width="27.28515625" style="12" customWidth="1"/>
    <col min="3857" max="3892" width="9.140625" style="12" customWidth="1"/>
    <col min="3893" max="4106" width="9.140625" style="12"/>
    <col min="4107" max="4107" width="18.7109375" style="12" customWidth="1"/>
    <col min="4108" max="4108" width="18.140625" style="12" customWidth="1"/>
    <col min="4109" max="4109" width="8.7109375" style="12" customWidth="1"/>
    <col min="4110" max="4110" width="9.140625" style="12"/>
    <col min="4111" max="4111" width="9.140625" style="12" customWidth="1"/>
    <col min="4112" max="4112" width="27.28515625" style="12" customWidth="1"/>
    <col min="4113" max="4148" width="9.140625" style="12" customWidth="1"/>
    <col min="4149" max="4362" width="9.140625" style="12"/>
    <col min="4363" max="4363" width="18.7109375" style="12" customWidth="1"/>
    <col min="4364" max="4364" width="18.140625" style="12" customWidth="1"/>
    <col min="4365" max="4365" width="8.7109375" style="12" customWidth="1"/>
    <col min="4366" max="4366" width="9.140625" style="12"/>
    <col min="4367" max="4367" width="9.140625" style="12" customWidth="1"/>
    <col min="4368" max="4368" width="27.28515625" style="12" customWidth="1"/>
    <col min="4369" max="4404" width="9.140625" style="12" customWidth="1"/>
    <col min="4405" max="4618" width="9.140625" style="12"/>
    <col min="4619" max="4619" width="18.7109375" style="12" customWidth="1"/>
    <col min="4620" max="4620" width="18.140625" style="12" customWidth="1"/>
    <col min="4621" max="4621" width="8.7109375" style="12" customWidth="1"/>
    <col min="4622" max="4622" width="9.140625" style="12"/>
    <col min="4623" max="4623" width="9.140625" style="12" customWidth="1"/>
    <col min="4624" max="4624" width="27.28515625" style="12" customWidth="1"/>
    <col min="4625" max="4660" width="9.140625" style="12" customWidth="1"/>
    <col min="4661" max="4874" width="9.140625" style="12"/>
    <col min="4875" max="4875" width="18.7109375" style="12" customWidth="1"/>
    <col min="4876" max="4876" width="18.140625" style="12" customWidth="1"/>
    <col min="4877" max="4877" width="8.7109375" style="12" customWidth="1"/>
    <col min="4878" max="4878" width="9.140625" style="12"/>
    <col min="4879" max="4879" width="9.140625" style="12" customWidth="1"/>
    <col min="4880" max="4880" width="27.28515625" style="12" customWidth="1"/>
    <col min="4881" max="4916" width="9.140625" style="12" customWidth="1"/>
    <col min="4917" max="5130" width="9.140625" style="12"/>
    <col min="5131" max="5131" width="18.7109375" style="12" customWidth="1"/>
    <col min="5132" max="5132" width="18.140625" style="12" customWidth="1"/>
    <col min="5133" max="5133" width="8.7109375" style="12" customWidth="1"/>
    <col min="5134" max="5134" width="9.140625" style="12"/>
    <col min="5135" max="5135" width="9.140625" style="12" customWidth="1"/>
    <col min="5136" max="5136" width="27.28515625" style="12" customWidth="1"/>
    <col min="5137" max="5172" width="9.140625" style="12" customWidth="1"/>
    <col min="5173" max="5386" width="9.140625" style="12"/>
    <col min="5387" max="5387" width="18.7109375" style="12" customWidth="1"/>
    <col min="5388" max="5388" width="18.140625" style="12" customWidth="1"/>
    <col min="5389" max="5389" width="8.7109375" style="12" customWidth="1"/>
    <col min="5390" max="5390" width="9.140625" style="12"/>
    <col min="5391" max="5391" width="9.140625" style="12" customWidth="1"/>
    <col min="5392" max="5392" width="27.28515625" style="12" customWidth="1"/>
    <col min="5393" max="5428" width="9.140625" style="12" customWidth="1"/>
    <col min="5429" max="5642" width="9.140625" style="12"/>
    <col min="5643" max="5643" width="18.7109375" style="12" customWidth="1"/>
    <col min="5644" max="5644" width="18.140625" style="12" customWidth="1"/>
    <col min="5645" max="5645" width="8.7109375" style="12" customWidth="1"/>
    <col min="5646" max="5646" width="9.140625" style="12"/>
    <col min="5647" max="5647" width="9.140625" style="12" customWidth="1"/>
    <col min="5648" max="5648" width="27.28515625" style="12" customWidth="1"/>
    <col min="5649" max="5684" width="9.140625" style="12" customWidth="1"/>
    <col min="5685" max="5898" width="9.140625" style="12"/>
    <col min="5899" max="5899" width="18.7109375" style="12" customWidth="1"/>
    <col min="5900" max="5900" width="18.140625" style="12" customWidth="1"/>
    <col min="5901" max="5901" width="8.7109375" style="12" customWidth="1"/>
    <col min="5902" max="5902" width="9.140625" style="12"/>
    <col min="5903" max="5903" width="9.140625" style="12" customWidth="1"/>
    <col min="5904" max="5904" width="27.28515625" style="12" customWidth="1"/>
    <col min="5905" max="5940" width="9.140625" style="12" customWidth="1"/>
    <col min="5941" max="6154" width="9.140625" style="12"/>
    <col min="6155" max="6155" width="18.7109375" style="12" customWidth="1"/>
    <col min="6156" max="6156" width="18.140625" style="12" customWidth="1"/>
    <col min="6157" max="6157" width="8.7109375" style="12" customWidth="1"/>
    <col min="6158" max="6158" width="9.140625" style="12"/>
    <col min="6159" max="6159" width="9.140625" style="12" customWidth="1"/>
    <col min="6160" max="6160" width="27.28515625" style="12" customWidth="1"/>
    <col min="6161" max="6196" width="9.140625" style="12" customWidth="1"/>
    <col min="6197" max="6410" width="9.140625" style="12"/>
    <col min="6411" max="6411" width="18.7109375" style="12" customWidth="1"/>
    <col min="6412" max="6412" width="18.140625" style="12" customWidth="1"/>
    <col min="6413" max="6413" width="8.7109375" style="12" customWidth="1"/>
    <col min="6414" max="6414" width="9.140625" style="12"/>
    <col min="6415" max="6415" width="9.140625" style="12" customWidth="1"/>
    <col min="6416" max="6416" width="27.28515625" style="12" customWidth="1"/>
    <col min="6417" max="6452" width="9.140625" style="12" customWidth="1"/>
    <col min="6453" max="6666" width="9.140625" style="12"/>
    <col min="6667" max="6667" width="18.7109375" style="12" customWidth="1"/>
    <col min="6668" max="6668" width="18.140625" style="12" customWidth="1"/>
    <col min="6669" max="6669" width="8.7109375" style="12" customWidth="1"/>
    <col min="6670" max="6670" width="9.140625" style="12"/>
    <col min="6671" max="6671" width="9.140625" style="12" customWidth="1"/>
    <col min="6672" max="6672" width="27.28515625" style="12" customWidth="1"/>
    <col min="6673" max="6708" width="9.140625" style="12" customWidth="1"/>
    <col min="6709" max="6922" width="9.140625" style="12"/>
    <col min="6923" max="6923" width="18.7109375" style="12" customWidth="1"/>
    <col min="6924" max="6924" width="18.140625" style="12" customWidth="1"/>
    <col min="6925" max="6925" width="8.7109375" style="12" customWidth="1"/>
    <col min="6926" max="6926" width="9.140625" style="12"/>
    <col min="6927" max="6927" width="9.140625" style="12" customWidth="1"/>
    <col min="6928" max="6928" width="27.28515625" style="12" customWidth="1"/>
    <col min="6929" max="6964" width="9.140625" style="12" customWidth="1"/>
    <col min="6965" max="7178" width="9.140625" style="12"/>
    <col min="7179" max="7179" width="18.7109375" style="12" customWidth="1"/>
    <col min="7180" max="7180" width="18.140625" style="12" customWidth="1"/>
    <col min="7181" max="7181" width="8.7109375" style="12" customWidth="1"/>
    <col min="7182" max="7182" width="9.140625" style="12"/>
    <col min="7183" max="7183" width="9.140625" style="12" customWidth="1"/>
    <col min="7184" max="7184" width="27.28515625" style="12" customWidth="1"/>
    <col min="7185" max="7220" width="9.140625" style="12" customWidth="1"/>
    <col min="7221" max="7434" width="9.140625" style="12"/>
    <col min="7435" max="7435" width="18.7109375" style="12" customWidth="1"/>
    <col min="7436" max="7436" width="18.140625" style="12" customWidth="1"/>
    <col min="7437" max="7437" width="8.7109375" style="12" customWidth="1"/>
    <col min="7438" max="7438" width="9.140625" style="12"/>
    <col min="7439" max="7439" width="9.140625" style="12" customWidth="1"/>
    <col min="7440" max="7440" width="27.28515625" style="12" customWidth="1"/>
    <col min="7441" max="7476" width="9.140625" style="12" customWidth="1"/>
    <col min="7477" max="7690" width="9.140625" style="12"/>
    <col min="7691" max="7691" width="18.7109375" style="12" customWidth="1"/>
    <col min="7692" max="7692" width="18.140625" style="12" customWidth="1"/>
    <col min="7693" max="7693" width="8.7109375" style="12" customWidth="1"/>
    <col min="7694" max="7694" width="9.140625" style="12"/>
    <col min="7695" max="7695" width="9.140625" style="12" customWidth="1"/>
    <col min="7696" max="7696" width="27.28515625" style="12" customWidth="1"/>
    <col min="7697" max="7732" width="9.140625" style="12" customWidth="1"/>
    <col min="7733" max="7946" width="9.140625" style="12"/>
    <col min="7947" max="7947" width="18.7109375" style="12" customWidth="1"/>
    <col min="7948" max="7948" width="18.140625" style="12" customWidth="1"/>
    <col min="7949" max="7949" width="8.7109375" style="12" customWidth="1"/>
    <col min="7950" max="7950" width="9.140625" style="12"/>
    <col min="7951" max="7951" width="9.140625" style="12" customWidth="1"/>
    <col min="7952" max="7952" width="27.28515625" style="12" customWidth="1"/>
    <col min="7953" max="7988" width="9.140625" style="12" customWidth="1"/>
    <col min="7989" max="8202" width="9.140625" style="12"/>
    <col min="8203" max="8203" width="18.7109375" style="12" customWidth="1"/>
    <col min="8204" max="8204" width="18.140625" style="12" customWidth="1"/>
    <col min="8205" max="8205" width="8.7109375" style="12" customWidth="1"/>
    <col min="8206" max="8206" width="9.140625" style="12"/>
    <col min="8207" max="8207" width="9.140625" style="12" customWidth="1"/>
    <col min="8208" max="8208" width="27.28515625" style="12" customWidth="1"/>
    <col min="8209" max="8244" width="9.140625" style="12" customWidth="1"/>
    <col min="8245" max="8458" width="9.140625" style="12"/>
    <col min="8459" max="8459" width="18.7109375" style="12" customWidth="1"/>
    <col min="8460" max="8460" width="18.140625" style="12" customWidth="1"/>
    <col min="8461" max="8461" width="8.7109375" style="12" customWidth="1"/>
    <col min="8462" max="8462" width="9.140625" style="12"/>
    <col min="8463" max="8463" width="9.140625" style="12" customWidth="1"/>
    <col min="8464" max="8464" width="27.28515625" style="12" customWidth="1"/>
    <col min="8465" max="8500" width="9.140625" style="12" customWidth="1"/>
    <col min="8501" max="8714" width="9.140625" style="12"/>
    <col min="8715" max="8715" width="18.7109375" style="12" customWidth="1"/>
    <col min="8716" max="8716" width="18.140625" style="12" customWidth="1"/>
    <col min="8717" max="8717" width="8.7109375" style="12" customWidth="1"/>
    <col min="8718" max="8718" width="9.140625" style="12"/>
    <col min="8719" max="8719" width="9.140625" style="12" customWidth="1"/>
    <col min="8720" max="8720" width="27.28515625" style="12" customWidth="1"/>
    <col min="8721" max="8756" width="9.140625" style="12" customWidth="1"/>
    <col min="8757" max="8970" width="9.140625" style="12"/>
    <col min="8971" max="8971" width="18.7109375" style="12" customWidth="1"/>
    <col min="8972" max="8972" width="18.140625" style="12" customWidth="1"/>
    <col min="8973" max="8973" width="8.7109375" style="12" customWidth="1"/>
    <col min="8974" max="8974" width="9.140625" style="12"/>
    <col min="8975" max="8975" width="9.140625" style="12" customWidth="1"/>
    <col min="8976" max="8976" width="27.28515625" style="12" customWidth="1"/>
    <col min="8977" max="9012" width="9.140625" style="12" customWidth="1"/>
    <col min="9013" max="9226" width="9.140625" style="12"/>
    <col min="9227" max="9227" width="18.7109375" style="12" customWidth="1"/>
    <col min="9228" max="9228" width="18.140625" style="12" customWidth="1"/>
    <col min="9229" max="9229" width="8.7109375" style="12" customWidth="1"/>
    <col min="9230" max="9230" width="9.140625" style="12"/>
    <col min="9231" max="9231" width="9.140625" style="12" customWidth="1"/>
    <col min="9232" max="9232" width="27.28515625" style="12" customWidth="1"/>
    <col min="9233" max="9268" width="9.140625" style="12" customWidth="1"/>
    <col min="9269" max="9482" width="9.140625" style="12"/>
    <col min="9483" max="9483" width="18.7109375" style="12" customWidth="1"/>
    <col min="9484" max="9484" width="18.140625" style="12" customWidth="1"/>
    <col min="9485" max="9485" width="8.7109375" style="12" customWidth="1"/>
    <col min="9486" max="9486" width="9.140625" style="12"/>
    <col min="9487" max="9487" width="9.140625" style="12" customWidth="1"/>
    <col min="9488" max="9488" width="27.28515625" style="12" customWidth="1"/>
    <col min="9489" max="9524" width="9.140625" style="12" customWidth="1"/>
    <col min="9525" max="9738" width="9.140625" style="12"/>
    <col min="9739" max="9739" width="18.7109375" style="12" customWidth="1"/>
    <col min="9740" max="9740" width="18.140625" style="12" customWidth="1"/>
    <col min="9741" max="9741" width="8.7109375" style="12" customWidth="1"/>
    <col min="9742" max="9742" width="9.140625" style="12"/>
    <col min="9743" max="9743" width="9.140625" style="12" customWidth="1"/>
    <col min="9744" max="9744" width="27.28515625" style="12" customWidth="1"/>
    <col min="9745" max="9780" width="9.140625" style="12" customWidth="1"/>
    <col min="9781" max="9994" width="9.140625" style="12"/>
    <col min="9995" max="9995" width="18.7109375" style="12" customWidth="1"/>
    <col min="9996" max="9996" width="18.140625" style="12" customWidth="1"/>
    <col min="9997" max="9997" width="8.7109375" style="12" customWidth="1"/>
    <col min="9998" max="9998" width="9.140625" style="12"/>
    <col min="9999" max="9999" width="9.140625" style="12" customWidth="1"/>
    <col min="10000" max="10000" width="27.28515625" style="12" customWidth="1"/>
    <col min="10001" max="10036" width="9.140625" style="12" customWidth="1"/>
    <col min="10037" max="10250" width="9.140625" style="12"/>
    <col min="10251" max="10251" width="18.7109375" style="12" customWidth="1"/>
    <col min="10252" max="10252" width="18.140625" style="12" customWidth="1"/>
    <col min="10253" max="10253" width="8.7109375" style="12" customWidth="1"/>
    <col min="10254" max="10254" width="9.140625" style="12"/>
    <col min="10255" max="10255" width="9.140625" style="12" customWidth="1"/>
    <col min="10256" max="10256" width="27.28515625" style="12" customWidth="1"/>
    <col min="10257" max="10292" width="9.140625" style="12" customWidth="1"/>
    <col min="10293" max="10506" width="9.140625" style="12"/>
    <col min="10507" max="10507" width="18.7109375" style="12" customWidth="1"/>
    <col min="10508" max="10508" width="18.140625" style="12" customWidth="1"/>
    <col min="10509" max="10509" width="8.7109375" style="12" customWidth="1"/>
    <col min="10510" max="10510" width="9.140625" style="12"/>
    <col min="10511" max="10511" width="9.140625" style="12" customWidth="1"/>
    <col min="10512" max="10512" width="27.28515625" style="12" customWidth="1"/>
    <col min="10513" max="10548" width="9.140625" style="12" customWidth="1"/>
    <col min="10549" max="10762" width="9.140625" style="12"/>
    <col min="10763" max="10763" width="18.7109375" style="12" customWidth="1"/>
    <col min="10764" max="10764" width="18.140625" style="12" customWidth="1"/>
    <col min="10765" max="10765" width="8.7109375" style="12" customWidth="1"/>
    <col min="10766" max="10766" width="9.140625" style="12"/>
    <col min="10767" max="10767" width="9.140625" style="12" customWidth="1"/>
    <col min="10768" max="10768" width="27.28515625" style="12" customWidth="1"/>
    <col min="10769" max="10804" width="9.140625" style="12" customWidth="1"/>
    <col min="10805" max="11018" width="9.140625" style="12"/>
    <col min="11019" max="11019" width="18.7109375" style="12" customWidth="1"/>
    <col min="11020" max="11020" width="18.140625" style="12" customWidth="1"/>
    <col min="11021" max="11021" width="8.7109375" style="12" customWidth="1"/>
    <col min="11022" max="11022" width="9.140625" style="12"/>
    <col min="11023" max="11023" width="9.140625" style="12" customWidth="1"/>
    <col min="11024" max="11024" width="27.28515625" style="12" customWidth="1"/>
    <col min="11025" max="11060" width="9.140625" style="12" customWidth="1"/>
    <col min="11061" max="11274" width="9.140625" style="12"/>
    <col min="11275" max="11275" width="18.7109375" style="12" customWidth="1"/>
    <col min="11276" max="11276" width="18.140625" style="12" customWidth="1"/>
    <col min="11277" max="11277" width="8.7109375" style="12" customWidth="1"/>
    <col min="11278" max="11278" width="9.140625" style="12"/>
    <col min="11279" max="11279" width="9.140625" style="12" customWidth="1"/>
    <col min="11280" max="11280" width="27.28515625" style="12" customWidth="1"/>
    <col min="11281" max="11316" width="9.140625" style="12" customWidth="1"/>
    <col min="11317" max="11530" width="9.140625" style="12"/>
    <col min="11531" max="11531" width="18.7109375" style="12" customWidth="1"/>
    <col min="11532" max="11532" width="18.140625" style="12" customWidth="1"/>
    <col min="11533" max="11533" width="8.7109375" style="12" customWidth="1"/>
    <col min="11534" max="11534" width="9.140625" style="12"/>
    <col min="11535" max="11535" width="9.140625" style="12" customWidth="1"/>
    <col min="11536" max="11536" width="27.28515625" style="12" customWidth="1"/>
    <col min="11537" max="11572" width="9.140625" style="12" customWidth="1"/>
    <col min="11573" max="11786" width="9.140625" style="12"/>
    <col min="11787" max="11787" width="18.7109375" style="12" customWidth="1"/>
    <col min="11788" max="11788" width="18.140625" style="12" customWidth="1"/>
    <col min="11789" max="11789" width="8.7109375" style="12" customWidth="1"/>
    <col min="11790" max="11790" width="9.140625" style="12"/>
    <col min="11791" max="11791" width="9.140625" style="12" customWidth="1"/>
    <col min="11792" max="11792" width="27.28515625" style="12" customWidth="1"/>
    <col min="11793" max="11828" width="9.140625" style="12" customWidth="1"/>
    <col min="11829" max="12042" width="9.140625" style="12"/>
    <col min="12043" max="12043" width="18.7109375" style="12" customWidth="1"/>
    <col min="12044" max="12044" width="18.140625" style="12" customWidth="1"/>
    <col min="12045" max="12045" width="8.7109375" style="12" customWidth="1"/>
    <col min="12046" max="12046" width="9.140625" style="12"/>
    <col min="12047" max="12047" width="9.140625" style="12" customWidth="1"/>
    <col min="12048" max="12048" width="27.28515625" style="12" customWidth="1"/>
    <col min="12049" max="12084" width="9.140625" style="12" customWidth="1"/>
    <col min="12085" max="12298" width="9.140625" style="12"/>
    <col min="12299" max="12299" width="18.7109375" style="12" customWidth="1"/>
    <col min="12300" max="12300" width="18.140625" style="12" customWidth="1"/>
    <col min="12301" max="12301" width="8.7109375" style="12" customWidth="1"/>
    <col min="12302" max="12302" width="9.140625" style="12"/>
    <col min="12303" max="12303" width="9.140625" style="12" customWidth="1"/>
    <col min="12304" max="12304" width="27.28515625" style="12" customWidth="1"/>
    <col min="12305" max="12340" width="9.140625" style="12" customWidth="1"/>
    <col min="12341" max="12554" width="9.140625" style="12"/>
    <col min="12555" max="12555" width="18.7109375" style="12" customWidth="1"/>
    <col min="12556" max="12556" width="18.140625" style="12" customWidth="1"/>
    <col min="12557" max="12557" width="8.7109375" style="12" customWidth="1"/>
    <col min="12558" max="12558" width="9.140625" style="12"/>
    <col min="12559" max="12559" width="9.140625" style="12" customWidth="1"/>
    <col min="12560" max="12560" width="27.28515625" style="12" customWidth="1"/>
    <col min="12561" max="12596" width="9.140625" style="12" customWidth="1"/>
    <col min="12597" max="12810" width="9.140625" style="12"/>
    <col min="12811" max="12811" width="18.7109375" style="12" customWidth="1"/>
    <col min="12812" max="12812" width="18.140625" style="12" customWidth="1"/>
    <col min="12813" max="12813" width="8.7109375" style="12" customWidth="1"/>
    <col min="12814" max="12814" width="9.140625" style="12"/>
    <col min="12815" max="12815" width="9.140625" style="12" customWidth="1"/>
    <col min="12816" max="12816" width="27.28515625" style="12" customWidth="1"/>
    <col min="12817" max="12852" width="9.140625" style="12" customWidth="1"/>
    <col min="12853" max="13066" width="9.140625" style="12"/>
    <col min="13067" max="13067" width="18.7109375" style="12" customWidth="1"/>
    <col min="13068" max="13068" width="18.140625" style="12" customWidth="1"/>
    <col min="13069" max="13069" width="8.7109375" style="12" customWidth="1"/>
    <col min="13070" max="13070" width="9.140625" style="12"/>
    <col min="13071" max="13071" width="9.140625" style="12" customWidth="1"/>
    <col min="13072" max="13072" width="27.28515625" style="12" customWidth="1"/>
    <col min="13073" max="13108" width="9.140625" style="12" customWidth="1"/>
    <col min="13109" max="13322" width="9.140625" style="12"/>
    <col min="13323" max="13323" width="18.7109375" style="12" customWidth="1"/>
    <col min="13324" max="13324" width="18.140625" style="12" customWidth="1"/>
    <col min="13325" max="13325" width="8.7109375" style="12" customWidth="1"/>
    <col min="13326" max="13326" width="9.140625" style="12"/>
    <col min="13327" max="13327" width="9.140625" style="12" customWidth="1"/>
    <col min="13328" max="13328" width="27.28515625" style="12" customWidth="1"/>
    <col min="13329" max="13364" width="9.140625" style="12" customWidth="1"/>
    <col min="13365" max="13578" width="9.140625" style="12"/>
    <col min="13579" max="13579" width="18.7109375" style="12" customWidth="1"/>
    <col min="13580" max="13580" width="18.140625" style="12" customWidth="1"/>
    <col min="13581" max="13581" width="8.7109375" style="12" customWidth="1"/>
    <col min="13582" max="13582" width="9.140625" style="12"/>
    <col min="13583" max="13583" width="9.140625" style="12" customWidth="1"/>
    <col min="13584" max="13584" width="27.28515625" style="12" customWidth="1"/>
    <col min="13585" max="13620" width="9.140625" style="12" customWidth="1"/>
    <col min="13621" max="13834" width="9.140625" style="12"/>
    <col min="13835" max="13835" width="18.7109375" style="12" customWidth="1"/>
    <col min="13836" max="13836" width="18.140625" style="12" customWidth="1"/>
    <col min="13837" max="13837" width="8.7109375" style="12" customWidth="1"/>
    <col min="13838" max="13838" width="9.140625" style="12"/>
    <col min="13839" max="13839" width="9.140625" style="12" customWidth="1"/>
    <col min="13840" max="13840" width="27.28515625" style="12" customWidth="1"/>
    <col min="13841" max="13876" width="9.140625" style="12" customWidth="1"/>
    <col min="13877" max="14090" width="9.140625" style="12"/>
    <col min="14091" max="14091" width="18.7109375" style="12" customWidth="1"/>
    <col min="14092" max="14092" width="18.140625" style="12" customWidth="1"/>
    <col min="14093" max="14093" width="8.7109375" style="12" customWidth="1"/>
    <col min="14094" max="14094" width="9.140625" style="12"/>
    <col min="14095" max="14095" width="9.140625" style="12" customWidth="1"/>
    <col min="14096" max="14096" width="27.28515625" style="12" customWidth="1"/>
    <col min="14097" max="14132" width="9.140625" style="12" customWidth="1"/>
    <col min="14133" max="14346" width="9.140625" style="12"/>
    <col min="14347" max="14347" width="18.7109375" style="12" customWidth="1"/>
    <col min="14348" max="14348" width="18.140625" style="12" customWidth="1"/>
    <col min="14349" max="14349" width="8.7109375" style="12" customWidth="1"/>
    <col min="14350" max="14350" width="9.140625" style="12"/>
    <col min="14351" max="14351" width="9.140625" style="12" customWidth="1"/>
    <col min="14352" max="14352" width="27.28515625" style="12" customWidth="1"/>
    <col min="14353" max="14388" width="9.140625" style="12" customWidth="1"/>
    <col min="14389" max="14602" width="9.140625" style="12"/>
    <col min="14603" max="14603" width="18.7109375" style="12" customWidth="1"/>
    <col min="14604" max="14604" width="18.140625" style="12" customWidth="1"/>
    <col min="14605" max="14605" width="8.7109375" style="12" customWidth="1"/>
    <col min="14606" max="14606" width="9.140625" style="12"/>
    <col min="14607" max="14607" width="9.140625" style="12" customWidth="1"/>
    <col min="14608" max="14608" width="27.28515625" style="12" customWidth="1"/>
    <col min="14609" max="14644" width="9.140625" style="12" customWidth="1"/>
    <col min="14645" max="14858" width="9.140625" style="12"/>
    <col min="14859" max="14859" width="18.7109375" style="12" customWidth="1"/>
    <col min="14860" max="14860" width="18.140625" style="12" customWidth="1"/>
    <col min="14861" max="14861" width="8.7109375" style="12" customWidth="1"/>
    <col min="14862" max="14862" width="9.140625" style="12"/>
    <col min="14863" max="14863" width="9.140625" style="12" customWidth="1"/>
    <col min="14864" max="14864" width="27.28515625" style="12" customWidth="1"/>
    <col min="14865" max="14900" width="9.140625" style="12" customWidth="1"/>
    <col min="14901" max="15114" width="9.140625" style="12"/>
    <col min="15115" max="15115" width="18.7109375" style="12" customWidth="1"/>
    <col min="15116" max="15116" width="18.140625" style="12" customWidth="1"/>
    <col min="15117" max="15117" width="8.7109375" style="12" customWidth="1"/>
    <col min="15118" max="15118" width="9.140625" style="12"/>
    <col min="15119" max="15119" width="9.140625" style="12" customWidth="1"/>
    <col min="15120" max="15120" width="27.28515625" style="12" customWidth="1"/>
    <col min="15121" max="15156" width="9.140625" style="12" customWidth="1"/>
    <col min="15157" max="15370" width="9.140625" style="12"/>
    <col min="15371" max="15371" width="18.7109375" style="12" customWidth="1"/>
    <col min="15372" max="15372" width="18.140625" style="12" customWidth="1"/>
    <col min="15373" max="15373" width="8.7109375" style="12" customWidth="1"/>
    <col min="15374" max="15374" width="9.140625" style="12"/>
    <col min="15375" max="15375" width="9.140625" style="12" customWidth="1"/>
    <col min="15376" max="15376" width="27.28515625" style="12" customWidth="1"/>
    <col min="15377" max="15412" width="9.140625" style="12" customWidth="1"/>
    <col min="15413" max="15626" width="9.140625" style="12"/>
    <col min="15627" max="15627" width="18.7109375" style="12" customWidth="1"/>
    <col min="15628" max="15628" width="18.140625" style="12" customWidth="1"/>
    <col min="15629" max="15629" width="8.7109375" style="12" customWidth="1"/>
    <col min="15630" max="15630" width="9.140625" style="12"/>
    <col min="15631" max="15631" width="9.140625" style="12" customWidth="1"/>
    <col min="15632" max="15632" width="27.28515625" style="12" customWidth="1"/>
    <col min="15633" max="15668" width="9.140625" style="12" customWidth="1"/>
    <col min="15669" max="15882" width="9.140625" style="12"/>
    <col min="15883" max="15883" width="18.7109375" style="12" customWidth="1"/>
    <col min="15884" max="15884" width="18.140625" style="12" customWidth="1"/>
    <col min="15885" max="15885" width="8.7109375" style="12" customWidth="1"/>
    <col min="15886" max="15886" width="9.140625" style="12"/>
    <col min="15887" max="15887" width="9.140625" style="12" customWidth="1"/>
    <col min="15888" max="15888" width="27.28515625" style="12" customWidth="1"/>
    <col min="15889" max="15924" width="9.140625" style="12" customWidth="1"/>
    <col min="15925" max="16138" width="9.140625" style="12"/>
    <col min="16139" max="16139" width="18.7109375" style="12" customWidth="1"/>
    <col min="16140" max="16140" width="18.140625" style="12" customWidth="1"/>
    <col min="16141" max="16141" width="8.7109375" style="12" customWidth="1"/>
    <col min="16142" max="16142" width="9.140625" style="12"/>
    <col min="16143" max="16143" width="9.140625" style="12" customWidth="1"/>
    <col min="16144" max="16144" width="27.28515625" style="12" customWidth="1"/>
    <col min="16145" max="16180" width="9.140625" style="12" customWidth="1"/>
    <col min="16181" max="16384" width="9.140625" style="12"/>
  </cols>
  <sheetData>
    <row r="1" spans="1:101" ht="21" customHeight="1" x14ac:dyDescent="0.25">
      <c r="D1" s="431" t="str">
        <f>"Результаты " &amp; НазваниеПолное</f>
        <v>Результаты Ралли "Skoda Rally Weekend - 2017"</v>
      </c>
      <c r="E1" s="431"/>
      <c r="F1" s="431"/>
      <c r="G1" s="431"/>
      <c r="H1" s="431"/>
      <c r="J1" s="14"/>
      <c r="N1" s="14"/>
      <c r="CB1" s="125"/>
      <c r="CC1" s="125"/>
      <c r="CD1" s="125"/>
      <c r="CE1" s="125"/>
      <c r="CF1" s="125"/>
    </row>
    <row r="2" spans="1:101" ht="5.0999999999999996" customHeight="1" x14ac:dyDescent="0.25"/>
    <row r="3" spans="1:101" ht="18.75" x14ac:dyDescent="0.3">
      <c r="A3" s="314"/>
      <c r="B3" s="313"/>
      <c r="C3" s="312"/>
      <c r="D3" s="425" t="s">
        <v>1</v>
      </c>
      <c r="E3" s="426"/>
      <c r="F3" s="426"/>
      <c r="G3" s="426"/>
      <c r="H3" s="426"/>
      <c r="I3" s="426"/>
      <c r="J3" s="427"/>
      <c r="K3" s="425" t="s">
        <v>63</v>
      </c>
      <c r="L3" s="427"/>
      <c r="M3" s="421" t="str">
        <f>КВ0</f>
        <v>КВ-0 Старт Skoda</v>
      </c>
      <c r="N3" s="422"/>
      <c r="O3" s="423" t="s">
        <v>221</v>
      </c>
      <c r="P3" s="424"/>
      <c r="Q3" s="425" t="str">
        <f>КВ1</f>
        <v>КВ-1 М1</v>
      </c>
      <c r="R3" s="426"/>
      <c r="S3" s="426"/>
      <c r="T3" s="427"/>
      <c r="U3" s="423" t="s">
        <v>221</v>
      </c>
      <c r="V3" s="424"/>
      <c r="W3" s="425" t="str">
        <f>КВ2</f>
        <v>КВ-2 Окружная</v>
      </c>
      <c r="X3" s="426"/>
      <c r="Y3" s="426"/>
      <c r="Z3" s="427"/>
      <c r="AA3" s="423" t="s">
        <v>221</v>
      </c>
      <c r="AB3" s="424"/>
      <c r="AC3" s="425" t="str">
        <f>КВ3</f>
        <v>КВ-3 Родник</v>
      </c>
      <c r="AD3" s="426"/>
      <c r="AE3" s="426"/>
      <c r="AF3" s="427"/>
      <c r="AG3" s="423" t="s">
        <v>221</v>
      </c>
      <c r="AH3" s="424"/>
      <c r="AI3" s="425" t="str">
        <f>КВ4</f>
        <v>КВ-4 Финиш Skoda</v>
      </c>
      <c r="AJ3" s="426"/>
      <c r="AK3" s="426"/>
      <c r="AL3" s="426"/>
      <c r="AM3" s="427"/>
      <c r="AN3" s="428" t="str">
        <f>ДС1</f>
        <v>ДС-1 РД</v>
      </c>
      <c r="AO3" s="429"/>
      <c r="AP3" s="429"/>
      <c r="AQ3" s="429"/>
      <c r="AR3" s="429"/>
      <c r="AS3" s="429"/>
      <c r="AT3" s="429"/>
      <c r="AU3" s="429"/>
      <c r="AV3" s="430"/>
      <c r="AW3" s="425" t="str">
        <f>ДС2</f>
        <v>ДС-2 РУ</v>
      </c>
      <c r="AX3" s="426"/>
      <c r="AY3" s="426"/>
      <c r="AZ3" s="426"/>
      <c r="BA3" s="426"/>
      <c r="BB3" s="426"/>
      <c r="BC3" s="426"/>
      <c r="BD3" s="426"/>
      <c r="BE3" s="426"/>
      <c r="BF3" s="427"/>
      <c r="BG3" s="428" t="str">
        <f>ДС3</f>
        <v>ДС-3 РД</v>
      </c>
      <c r="BH3" s="429"/>
      <c r="BI3" s="429"/>
      <c r="BJ3" s="429"/>
      <c r="BK3" s="429"/>
      <c r="BL3" s="429"/>
      <c r="BM3" s="429"/>
      <c r="BN3" s="429"/>
      <c r="BO3" s="430"/>
      <c r="BP3" s="425" t="str">
        <f>ДС4</f>
        <v>ДС-4 СЛ</v>
      </c>
      <c r="BQ3" s="426"/>
      <c r="BR3" s="426"/>
      <c r="BS3" s="426"/>
      <c r="BT3" s="426"/>
      <c r="BU3" s="426"/>
      <c r="BV3" s="426"/>
      <c r="BW3" s="426"/>
      <c r="BX3" s="426"/>
      <c r="BY3" s="426"/>
      <c r="BZ3" s="427"/>
      <c r="CA3" s="425" t="s">
        <v>46</v>
      </c>
      <c r="CB3" s="426"/>
      <c r="CC3" s="426"/>
      <c r="CD3" s="427"/>
      <c r="CE3" s="425" t="s">
        <v>230</v>
      </c>
      <c r="CF3" s="427"/>
      <c r="CI3" s="425" t="s">
        <v>287</v>
      </c>
      <c r="CJ3" s="427"/>
      <c r="CK3" s="425" t="s">
        <v>288</v>
      </c>
      <c r="CL3" s="426"/>
      <c r="CM3" s="426"/>
      <c r="CN3" s="426"/>
      <c r="CO3" s="426"/>
      <c r="CP3" s="426"/>
      <c r="CQ3" s="427"/>
    </row>
    <row r="4" spans="1:101" s="383" customFormat="1" ht="89.25" x14ac:dyDescent="0.2">
      <c r="A4" s="309" t="s">
        <v>298</v>
      </c>
      <c r="B4" s="382" t="s">
        <v>16</v>
      </c>
      <c r="C4" s="310"/>
      <c r="D4" s="299" t="s">
        <v>134</v>
      </c>
      <c r="E4" s="300" t="s">
        <v>17</v>
      </c>
      <c r="F4" s="300" t="s">
        <v>18</v>
      </c>
      <c r="G4" s="300" t="s">
        <v>19</v>
      </c>
      <c r="H4" s="294" t="s">
        <v>20</v>
      </c>
      <c r="I4" s="294" t="s">
        <v>297</v>
      </c>
      <c r="J4" s="295" t="s">
        <v>45</v>
      </c>
      <c r="K4" s="296" t="s">
        <v>101</v>
      </c>
      <c r="L4" s="297" t="s">
        <v>64</v>
      </c>
      <c r="M4" s="293" t="s">
        <v>219</v>
      </c>
      <c r="N4" s="295" t="s">
        <v>22</v>
      </c>
      <c r="O4" s="293" t="s">
        <v>31</v>
      </c>
      <c r="P4" s="298" t="s">
        <v>290</v>
      </c>
      <c r="Q4" s="293" t="s">
        <v>98</v>
      </c>
      <c r="R4" s="294" t="s">
        <v>219</v>
      </c>
      <c r="S4" s="294" t="s">
        <v>157</v>
      </c>
      <c r="T4" s="295" t="s">
        <v>22</v>
      </c>
      <c r="U4" s="293" t="s">
        <v>31</v>
      </c>
      <c r="V4" s="298" t="s">
        <v>290</v>
      </c>
      <c r="W4" s="293" t="s">
        <v>335</v>
      </c>
      <c r="X4" s="294" t="s">
        <v>219</v>
      </c>
      <c r="Y4" s="294" t="s">
        <v>157</v>
      </c>
      <c r="Z4" s="295" t="s">
        <v>22</v>
      </c>
      <c r="AA4" s="293" t="s">
        <v>31</v>
      </c>
      <c r="AB4" s="298" t="s">
        <v>290</v>
      </c>
      <c r="AC4" s="293" t="s">
        <v>98</v>
      </c>
      <c r="AD4" s="294" t="s">
        <v>219</v>
      </c>
      <c r="AE4" s="294" t="s">
        <v>157</v>
      </c>
      <c r="AF4" s="295" t="s">
        <v>22</v>
      </c>
      <c r="AG4" s="293" t="s">
        <v>31</v>
      </c>
      <c r="AH4" s="298" t="s">
        <v>290</v>
      </c>
      <c r="AI4" s="293" t="s">
        <v>304</v>
      </c>
      <c r="AJ4" s="294" t="s">
        <v>156</v>
      </c>
      <c r="AK4" s="294" t="s">
        <v>219</v>
      </c>
      <c r="AL4" s="294" t="s">
        <v>157</v>
      </c>
      <c r="AM4" s="295" t="s">
        <v>22</v>
      </c>
      <c r="AN4" s="293" t="s">
        <v>227</v>
      </c>
      <c r="AO4" s="294" t="s">
        <v>81</v>
      </c>
      <c r="AP4" s="294" t="s">
        <v>82</v>
      </c>
      <c r="AQ4" s="294" t="s">
        <v>100</v>
      </c>
      <c r="AR4" s="294" t="s">
        <v>24</v>
      </c>
      <c r="AS4" s="294" t="s">
        <v>25</v>
      </c>
      <c r="AT4" s="294" t="s">
        <v>26</v>
      </c>
      <c r="AU4" s="294" t="s">
        <v>223</v>
      </c>
      <c r="AV4" s="295" t="s">
        <v>22</v>
      </c>
      <c r="AW4" s="293" t="s">
        <v>227</v>
      </c>
      <c r="AX4" s="294" t="s">
        <v>81</v>
      </c>
      <c r="AY4" s="294" t="s">
        <v>82</v>
      </c>
      <c r="AZ4" s="294" t="s">
        <v>228</v>
      </c>
      <c r="BA4" s="294" t="s">
        <v>100</v>
      </c>
      <c r="BB4" s="294" t="s">
        <v>24</v>
      </c>
      <c r="BC4" s="294" t="s">
        <v>25</v>
      </c>
      <c r="BD4" s="294" t="s">
        <v>26</v>
      </c>
      <c r="BE4" s="294" t="s">
        <v>23</v>
      </c>
      <c r="BF4" s="295" t="s">
        <v>22</v>
      </c>
      <c r="BG4" s="293" t="s">
        <v>227</v>
      </c>
      <c r="BH4" s="294" t="s">
        <v>81</v>
      </c>
      <c r="BI4" s="294" t="s">
        <v>82</v>
      </c>
      <c r="BJ4" s="294" t="s">
        <v>100</v>
      </c>
      <c r="BK4" s="294" t="s">
        <v>24</v>
      </c>
      <c r="BL4" s="294" t="s">
        <v>25</v>
      </c>
      <c r="BM4" s="294" t="s">
        <v>26</v>
      </c>
      <c r="BN4" s="294" t="s">
        <v>223</v>
      </c>
      <c r="BO4" s="295" t="s">
        <v>22</v>
      </c>
      <c r="BP4" s="293" t="s">
        <v>227</v>
      </c>
      <c r="BQ4" s="294" t="s">
        <v>44</v>
      </c>
      <c r="BR4" s="294" t="s">
        <v>97</v>
      </c>
      <c r="BS4" s="294" t="s">
        <v>222</v>
      </c>
      <c r="BT4" s="294" t="s">
        <v>232</v>
      </c>
      <c r="BU4" s="294" t="s">
        <v>99</v>
      </c>
      <c r="BV4" s="294" t="s">
        <v>223</v>
      </c>
      <c r="BW4" s="294" t="s">
        <v>225</v>
      </c>
      <c r="BX4" s="294" t="s">
        <v>224</v>
      </c>
      <c r="BY4" s="294" t="s">
        <v>226</v>
      </c>
      <c r="BZ4" s="295" t="s">
        <v>22</v>
      </c>
      <c r="CA4" s="293" t="s">
        <v>25</v>
      </c>
      <c r="CB4" s="294" t="s">
        <v>229</v>
      </c>
      <c r="CC4" s="294" t="s">
        <v>137</v>
      </c>
      <c r="CD4" s="297" t="s">
        <v>22</v>
      </c>
      <c r="CE4" s="293" t="s">
        <v>231</v>
      </c>
      <c r="CF4" s="297" t="s">
        <v>22</v>
      </c>
      <c r="CI4" s="293" t="s">
        <v>233</v>
      </c>
      <c r="CJ4" s="295" t="s">
        <v>22</v>
      </c>
      <c r="CK4" s="293" t="s">
        <v>31</v>
      </c>
      <c r="CL4" s="294" t="s">
        <v>156</v>
      </c>
      <c r="CM4" s="294" t="s">
        <v>98</v>
      </c>
      <c r="CN4" s="294" t="s">
        <v>219</v>
      </c>
      <c r="CO4" s="294" t="s">
        <v>220</v>
      </c>
      <c r="CP4" s="294" t="s">
        <v>21</v>
      </c>
      <c r="CQ4" s="295" t="s">
        <v>22</v>
      </c>
    </row>
    <row r="5" spans="1:101" x14ac:dyDescent="0.25">
      <c r="A5" s="259">
        <v>1</v>
      </c>
      <c r="B5" s="373">
        <v>8</v>
      </c>
      <c r="C5" s="311"/>
      <c r="D5" s="211" t="s">
        <v>114</v>
      </c>
      <c r="E5" s="212" t="s">
        <v>103</v>
      </c>
      <c r="F5" s="212" t="s">
        <v>115</v>
      </c>
      <c r="G5" s="212" t="s">
        <v>116</v>
      </c>
      <c r="H5" s="213" t="s">
        <v>28</v>
      </c>
      <c r="I5" s="213"/>
      <c r="J5" s="177">
        <f t="shared" ref="J5:J25" si="0">SUM(K5:K5)+SUM(N5:N5)+SUM(T5:T5)+SUM(Z5:Z5)+SUM(AF5:AF5)+SUM(AM5:AM5)+SUM(AV5:AV5)+SUM(BF5:BF5)+SUM(BO5:BO5)+SUM(BZ5:BZ5)+SUM(CD5:CD5)+SUM(CF5:CF5)</f>
        <v>488.3</v>
      </c>
      <c r="K5" s="123"/>
      <c r="L5" s="78"/>
      <c r="M5" s="67">
        <v>0.50555555555555554</v>
      </c>
      <c r="N5" s="118">
        <f t="shared" ref="N5:N25" si="1">IF(ISBLANK(M5),"!!!ИСКЛЮЧЕНИЕ!!!",0)</f>
        <v>0</v>
      </c>
      <c r="O5" s="76">
        <f t="shared" ref="O5:O25" si="2">КВ1Время</f>
        <v>60</v>
      </c>
      <c r="P5" s="122">
        <f t="shared" ref="P5:P25" si="3">AP5</f>
        <v>0</v>
      </c>
      <c r="Q5" s="117">
        <f t="shared" ref="Q5:Q25" si="4">M5+O5/1440</f>
        <v>0.54722222222222217</v>
      </c>
      <c r="R5" s="176">
        <v>0.54722222222222217</v>
      </c>
      <c r="S5" s="68">
        <f t="shared" ref="S5:S25" si="5">IF(NOT(ISBLANK(R5)),ROUND((R5-Q5)*1440,0),"")</f>
        <v>0</v>
      </c>
      <c r="T5" s="118">
        <f t="shared" ref="T5:T25" si="6">IF(NOT(ISBLANK(R5)),ABS(IF(Q5&gt;R5,IF(S5=-1,0,S5*ШтрафОпережениеНаКВ),IF(S5&gt;P5,(S5-P5)*ШтрафОпозданиеНаКВ,0))),ШтрафПропускКВ)</f>
        <v>0</v>
      </c>
      <c r="U5" s="76">
        <f t="shared" ref="U5:U25" si="7">КВ2Время</f>
        <v>25</v>
      </c>
      <c r="V5" s="122">
        <v>0</v>
      </c>
      <c r="W5" s="117">
        <f t="shared" ref="W5:W25" si="8">IF(NOT(ISBLANK(AX5)),AX5+U5/1440,R5+U5/1440)</f>
        <v>0.56666666666666676</v>
      </c>
      <c r="X5" s="176">
        <v>0.56666666666666665</v>
      </c>
      <c r="Y5" s="68">
        <f t="shared" ref="Y5:Y25" si="9">IF(NOT(ISBLANK(X5)),ROUND((X5-W5)*1440,0),"")</f>
        <v>0</v>
      </c>
      <c r="Z5" s="118">
        <f t="shared" ref="Z5:Z25" si="10">IF(NOT(ISBLANK(X5)),ABS(IF(W5&gt;X5,IF(Y5=-1,0,Y5*ШтрафОпережениеНаКВ),IF(Y5&gt;V5,(Y5-V5)*ШтрафОпозданиеНаКВ,0))),ШтрафПропускКВ)</f>
        <v>0</v>
      </c>
      <c r="AA5" s="76">
        <f t="shared" ref="AA5:AA25" si="11">КВ3Время</f>
        <v>7</v>
      </c>
      <c r="AB5" s="122">
        <v>0</v>
      </c>
      <c r="AC5" s="117">
        <f t="shared" ref="AC5:AC25" si="12">IF(NOT(ISBLANK(X5)),X5+AA5/1440,W5+AA5/1440)</f>
        <v>0.57152777777777775</v>
      </c>
      <c r="AD5" s="176">
        <v>0.57152777777777775</v>
      </c>
      <c r="AE5" s="68">
        <f t="shared" ref="AE5:AE25" si="13">IF(NOT(ISBLANK(AD5)),ROUND((AD5-AC5)*1440,0),"")</f>
        <v>0</v>
      </c>
      <c r="AF5" s="118">
        <f t="shared" ref="AF5:AF25" si="14">IF(NOT(ISBLANK(AD5)),ABS(IF(AC5&gt;AD5,IF(AE5=-1,0,AE5*ШтрафОпережениеНаКВ),IF(AE5&gt;AB5,(AE5-AB5)*ШтрафОпозданиеНаКВ,0))),ШтрафПропускКВ)</f>
        <v>0</v>
      </c>
      <c r="AG5" s="76">
        <f t="shared" ref="AG5:AG25" si="15">КВ4Время</f>
        <v>70</v>
      </c>
      <c r="AH5" s="122">
        <v>0</v>
      </c>
      <c r="AI5" s="117">
        <f t="shared" ref="AI5:AI25" si="16">IF(NOT(ISBLANK(BH5)),BH5+AG5/1440,AC5+AG5/1440)</f>
        <v>0.62083333333333335</v>
      </c>
      <c r="AJ5" s="68">
        <f t="shared" ref="AJ5:AJ25" si="17">ROUNDUP(AG5/10,0)</f>
        <v>7</v>
      </c>
      <c r="AK5" s="176">
        <v>0.62083333333333335</v>
      </c>
      <c r="AL5" s="68">
        <f t="shared" ref="AL5:AL25" si="18">IF(NOT(ISBLANK(AK5)),ROUND((AK5-AI5)*1440,0),"")</f>
        <v>0</v>
      </c>
      <c r="AM5" s="118">
        <f t="shared" ref="AM5:AM25" si="19">IF(NOT(ISBLANK(AK5)),ABS(IF(AI5&gt;AK5,IF(-AL5&lt;=AJ5,0,AL5*ШтрафОпережениеНаКВ),IF(AL5&gt;AH5,(AL5-AH5)*ШтрафОпозданиеНаКВ,0))),"!!!ИСКЛЮЧЕНИЕ!!!")</f>
        <v>0</v>
      </c>
      <c r="AN5" s="121"/>
      <c r="AO5" s="75">
        <v>0.5269328703703704</v>
      </c>
      <c r="AP5" s="72">
        <f t="shared" ref="AP5:AP25" si="20">IF(ISBLANK(AN5),0,ROUND((AO5-AN5)*1440,0))</f>
        <v>0</v>
      </c>
      <c r="AQ5" s="68">
        <f t="shared" ref="AQ5:AQ25" si="21">ДС1Время</f>
        <v>443</v>
      </c>
      <c r="AR5" s="59">
        <f t="shared" ref="AR5:AR25" si="22">AO5+AQ5/86400</f>
        <v>0.53206018518518516</v>
      </c>
      <c r="AS5" s="75">
        <v>0.53221064814814811</v>
      </c>
      <c r="AT5" s="73">
        <f t="shared" ref="AT5:AT25" si="23">ROUND((AS5-AR5)*86400,0)</f>
        <v>13</v>
      </c>
      <c r="AU5" s="74"/>
      <c r="AV5" s="119">
        <f t="shared" ref="AV5:AV25" si="24">IF(NOT(OR(ISBLANK(AO5),ISBLANK(AS5))),ABS(AT5)*ШтрафОпережениеОтставаниеНаРД+IF(ISBLANK(AU5),0,ШтрафФальстартНаДС),ШтрафПропускДС)</f>
        <v>13</v>
      </c>
      <c r="AW5" s="121"/>
      <c r="AX5" s="70">
        <v>0.5493055555555556</v>
      </c>
      <c r="AY5" s="72">
        <f t="shared" ref="AY5:AY25" si="25">IF(ISBLANK(AW5),0,ROUND((AX5-AW5)*1440,0))</f>
        <v>0</v>
      </c>
      <c r="AZ5" s="68">
        <f t="shared" ref="AZ5:AZ25" si="26">ДС2ВремяМин</f>
        <v>478</v>
      </c>
      <c r="BA5" s="71">
        <v>950</v>
      </c>
      <c r="BB5" s="59">
        <f t="shared" ref="BB5:BB25" si="27">AX5+BA5/86400</f>
        <v>0.56030092592592595</v>
      </c>
      <c r="BC5" s="75">
        <v>0.55858796296296298</v>
      </c>
      <c r="BD5" s="73">
        <f t="shared" ref="BD5:BD25" si="28">ROUND((BC5-BB5)*86400,0)</f>
        <v>-148</v>
      </c>
      <c r="BE5" s="74"/>
      <c r="BF5" s="119">
        <f t="shared" ref="BF5:BF20" si="29">IF(NOT(OR(ISBLANK(AX5),ISBLANK(BC5))),IF(BD5&lt;0,IF(-BD5&lt;=BA5-AZ5,0,ШтрафОпережениеНаРУ),BD5*ШтрафОтставаниеНаРУ)+IF(ISBLANK(BE5),0,ШтрафФальстартНаДС),ШтрафПропускДС)</f>
        <v>0</v>
      </c>
      <c r="BG5" s="121"/>
      <c r="BH5" s="70">
        <v>0.57222222222222219</v>
      </c>
      <c r="BI5" s="72">
        <f t="shared" ref="BI5:BI25" si="30">IF(ISBLANK(BG5),0,ROUND((BH5-BG5)*1440,0))</f>
        <v>0</v>
      </c>
      <c r="BJ5" s="68">
        <f t="shared" ref="BJ5:BJ25" si="31">ДС3Время</f>
        <v>1393</v>
      </c>
      <c r="BK5" s="59">
        <f t="shared" ref="BK5:BK25" si="32">BH5+BJ5/86400</f>
        <v>0.58834490740740741</v>
      </c>
      <c r="BL5" s="75">
        <v>0.59033564814814821</v>
      </c>
      <c r="BM5" s="73">
        <f t="shared" ref="BM5:BM25" si="33">ROUND((BL5-BK5)*86400,0)</f>
        <v>172</v>
      </c>
      <c r="BN5" s="74"/>
      <c r="BO5" s="119">
        <f t="shared" ref="BO5:BO10" si="34">IF(NOT(OR(ISBLANK(BH5),ISBLANK(BL5))),ABS(BM5)*ШтрафОпережениеОтставаниеНаРД+IF(ISBLANK(BN5),0,ШтрафФальстартНаДС),ШтрафПропускДС)</f>
        <v>172</v>
      </c>
      <c r="BP5" s="121"/>
      <c r="BQ5" s="271">
        <v>0</v>
      </c>
      <c r="BR5" s="303">
        <f t="shared" ref="BR5:BR25" si="35">IF(ISBLANK(BP5),0,ROUND((BQ5-BP5)*1440,0))</f>
        <v>0</v>
      </c>
      <c r="BS5" s="304">
        <v>0</v>
      </c>
      <c r="BT5" s="175">
        <v>63.28</v>
      </c>
      <c r="BU5" s="305">
        <f t="shared" ref="BU5:BU25" si="36">ROUND(BT5-BS5,1)</f>
        <v>63.3</v>
      </c>
      <c r="BV5" s="74"/>
      <c r="BW5" s="74"/>
      <c r="BX5" s="74"/>
      <c r="BY5" s="74"/>
      <c r="BZ5" s="119">
        <f t="shared" ref="BZ5:BZ18" si="37">IF(NOT(ISBLANK(BQ5)),(BU5+IF(ISBLANK(BV5),0,ШтрафФальстартНаДС)+BW5*ШтрафСбитыйКонусНаСЛ+IF(ISBLANK(BX5),0,ШтрафНеостановкаБазойНаСЛ)+BY5*ШтрафПроездСЛНеПоСхеме)*СЛКоэффициент,ШтрафПропускДС)</f>
        <v>63.3</v>
      </c>
      <c r="CA5" s="65" t="s">
        <v>523</v>
      </c>
      <c r="CB5" s="66" t="s">
        <v>519</v>
      </c>
      <c r="CC5" s="209">
        <v>2</v>
      </c>
      <c r="CD5" s="124">
        <f t="shared" ref="CD5:CD25" si="38">CC5*ШтрафБуква</f>
        <v>240</v>
      </c>
      <c r="CE5" s="210"/>
      <c r="CF5" s="124">
        <f t="shared" ref="CF5:CF25" si="39">CE5*ШтрафВскрытыйКонверт</f>
        <v>0</v>
      </c>
      <c r="CI5" s="67" t="s">
        <v>237</v>
      </c>
      <c r="CJ5" s="118">
        <f t="shared" ref="CJ5:CJ20" si="40">IF(NOT(ISBLANK(CI5)),0,ШтрафПропускКП)</f>
        <v>0</v>
      </c>
      <c r="CK5" s="76" t="e">
        <f t="shared" ref="CK5:CK20" si="41">ROUNDDOWN(ВКВ1Расстояние/КВ3Скорость*60,0)</f>
        <v>#NAME?</v>
      </c>
      <c r="CL5" s="68" t="e">
        <f t="shared" ref="CL5:CL20" si="42">ROUNDUP(CK5/10,0)</f>
        <v>#NAME?</v>
      </c>
      <c r="CM5" s="69" t="e">
        <f t="shared" ref="CM5:CM20" si="43">IF(NOT(ISBLANK(R5)),R5+CK5/1440,Q5+CK5/1440)</f>
        <v>#NAME?</v>
      </c>
      <c r="CN5" s="77">
        <v>0.4916666666666667</v>
      </c>
      <c r="CO5" s="74"/>
      <c r="CP5" s="68" t="e">
        <f t="shared" ref="CP5:CP20" si="44">ROUND((CN5-CM5)*1440,0)</f>
        <v>#NAME?</v>
      </c>
      <c r="CQ5" s="118" t="e">
        <f t="shared" ref="CQ5:CQ20" si="45">IF(NOT(ISBLANK(CN5)),IF(CP5&gt;=0,0,IF(-CP5&lt;=CL5,0,-(CP5+CL5)*ШтрафОпережениеНаВКВ))+IF(NOT(ISBLANK(CO5)),ШтрафОтсутсвиеОтметкиНаВКВ,0),ШтрафПропускКВ)</f>
        <v>#NAME?</v>
      </c>
      <c r="CS5" s="380">
        <f>BC5-AX5</f>
        <v>9.2824074074073781E-3</v>
      </c>
      <c r="CW5" s="12">
        <f>AF5+CD5</f>
        <v>240</v>
      </c>
    </row>
    <row r="6" spans="1:101" x14ac:dyDescent="0.25">
      <c r="A6" s="259">
        <f>1+A5</f>
        <v>2</v>
      </c>
      <c r="B6" s="373">
        <v>14</v>
      </c>
      <c r="C6" s="311"/>
      <c r="D6" s="211" t="s">
        <v>250</v>
      </c>
      <c r="E6" s="212" t="s">
        <v>460</v>
      </c>
      <c r="F6" s="212" t="s">
        <v>121</v>
      </c>
      <c r="G6" s="212" t="s">
        <v>122</v>
      </c>
      <c r="H6" s="213" t="s">
        <v>28</v>
      </c>
      <c r="I6" s="213"/>
      <c r="J6" s="177">
        <f t="shared" si="0"/>
        <v>588.4</v>
      </c>
      <c r="K6" s="123"/>
      <c r="L6" s="78"/>
      <c r="M6" s="67">
        <v>0.50972222222222219</v>
      </c>
      <c r="N6" s="118">
        <f t="shared" si="1"/>
        <v>0</v>
      </c>
      <c r="O6" s="76">
        <f t="shared" si="2"/>
        <v>60</v>
      </c>
      <c r="P6" s="122">
        <f t="shared" si="3"/>
        <v>0</v>
      </c>
      <c r="Q6" s="117">
        <f t="shared" si="4"/>
        <v>0.55138888888888882</v>
      </c>
      <c r="R6" s="176">
        <v>0.55138888888888882</v>
      </c>
      <c r="S6" s="68">
        <f t="shared" si="5"/>
        <v>0</v>
      </c>
      <c r="T6" s="118">
        <f t="shared" si="6"/>
        <v>0</v>
      </c>
      <c r="U6" s="76">
        <f t="shared" si="7"/>
        <v>25</v>
      </c>
      <c r="V6" s="122">
        <v>0</v>
      </c>
      <c r="W6" s="117">
        <f t="shared" si="8"/>
        <v>0.56944444444444453</v>
      </c>
      <c r="X6" s="176">
        <v>0.56874999999999998</v>
      </c>
      <c r="Y6" s="68">
        <f t="shared" si="9"/>
        <v>-1</v>
      </c>
      <c r="Z6" s="118">
        <f t="shared" si="10"/>
        <v>0</v>
      </c>
      <c r="AA6" s="76">
        <f t="shared" si="11"/>
        <v>7</v>
      </c>
      <c r="AB6" s="122">
        <v>0</v>
      </c>
      <c r="AC6" s="117">
        <f t="shared" si="12"/>
        <v>0.57361111111111107</v>
      </c>
      <c r="AD6" s="176">
        <v>0.57361111111111118</v>
      </c>
      <c r="AE6" s="68">
        <f t="shared" si="13"/>
        <v>0</v>
      </c>
      <c r="AF6" s="118">
        <f t="shared" si="14"/>
        <v>0</v>
      </c>
      <c r="AG6" s="76">
        <f t="shared" si="15"/>
        <v>70</v>
      </c>
      <c r="AH6" s="122">
        <v>0</v>
      </c>
      <c r="AI6" s="117">
        <f t="shared" si="16"/>
        <v>0.62291666666666667</v>
      </c>
      <c r="AJ6" s="68">
        <f t="shared" si="17"/>
        <v>7</v>
      </c>
      <c r="AK6" s="176">
        <v>0.62291666666666667</v>
      </c>
      <c r="AL6" s="68">
        <f t="shared" si="18"/>
        <v>0</v>
      </c>
      <c r="AM6" s="118">
        <f t="shared" si="19"/>
        <v>0</v>
      </c>
      <c r="AN6" s="121"/>
      <c r="AO6" s="75">
        <v>0.52938657407407408</v>
      </c>
      <c r="AP6" s="72">
        <f t="shared" si="20"/>
        <v>0</v>
      </c>
      <c r="AQ6" s="68">
        <f t="shared" si="21"/>
        <v>443</v>
      </c>
      <c r="AR6" s="59">
        <f t="shared" si="22"/>
        <v>0.53451388888888884</v>
      </c>
      <c r="AS6" s="75">
        <v>0.53490740740740739</v>
      </c>
      <c r="AT6" s="73">
        <f t="shared" si="23"/>
        <v>34</v>
      </c>
      <c r="AU6" s="74"/>
      <c r="AV6" s="119">
        <f t="shared" si="24"/>
        <v>34</v>
      </c>
      <c r="AW6" s="121"/>
      <c r="AX6" s="70">
        <v>0.55208333333333337</v>
      </c>
      <c r="AY6" s="72">
        <f t="shared" si="25"/>
        <v>0</v>
      </c>
      <c r="AZ6" s="68">
        <f t="shared" si="26"/>
        <v>478</v>
      </c>
      <c r="BA6" s="71">
        <v>950</v>
      </c>
      <c r="BB6" s="59">
        <f t="shared" si="27"/>
        <v>0.56307870370370372</v>
      </c>
      <c r="BC6" s="75">
        <v>0.56284722222222217</v>
      </c>
      <c r="BD6" s="73">
        <f t="shared" si="28"/>
        <v>-20</v>
      </c>
      <c r="BE6" s="74"/>
      <c r="BF6" s="119">
        <f t="shared" si="29"/>
        <v>0</v>
      </c>
      <c r="BG6" s="121"/>
      <c r="BH6" s="70">
        <v>0.57430555555555551</v>
      </c>
      <c r="BI6" s="72">
        <f t="shared" si="30"/>
        <v>0</v>
      </c>
      <c r="BJ6" s="68">
        <f t="shared" si="31"/>
        <v>1393</v>
      </c>
      <c r="BK6" s="59">
        <f t="shared" si="32"/>
        <v>0.59042824074074074</v>
      </c>
      <c r="BL6" s="75">
        <v>0.5917824074074074</v>
      </c>
      <c r="BM6" s="73">
        <f t="shared" si="33"/>
        <v>117</v>
      </c>
      <c r="BN6" s="74"/>
      <c r="BO6" s="119">
        <f t="shared" si="34"/>
        <v>117</v>
      </c>
      <c r="BP6" s="121"/>
      <c r="BQ6" s="271">
        <v>0</v>
      </c>
      <c r="BR6" s="303">
        <f t="shared" si="35"/>
        <v>0</v>
      </c>
      <c r="BS6" s="304">
        <v>0</v>
      </c>
      <c r="BT6" s="375">
        <v>67.42</v>
      </c>
      <c r="BU6" s="376">
        <f t="shared" si="36"/>
        <v>67.400000000000006</v>
      </c>
      <c r="BV6" s="377"/>
      <c r="BW6" s="377">
        <v>1</v>
      </c>
      <c r="BX6" s="74"/>
      <c r="BY6" s="74"/>
      <c r="BZ6" s="119">
        <f t="shared" si="37"/>
        <v>77.400000000000006</v>
      </c>
      <c r="CA6" s="65" t="s">
        <v>526</v>
      </c>
      <c r="CB6" s="66" t="s">
        <v>519</v>
      </c>
      <c r="CC6" s="209">
        <v>3</v>
      </c>
      <c r="CD6" s="124">
        <f t="shared" si="38"/>
        <v>360</v>
      </c>
      <c r="CE6" s="210"/>
      <c r="CF6" s="124">
        <f t="shared" si="39"/>
        <v>0</v>
      </c>
      <c r="CI6" s="67" t="s">
        <v>237</v>
      </c>
      <c r="CJ6" s="118">
        <f t="shared" si="40"/>
        <v>0</v>
      </c>
      <c r="CK6" s="76" t="e">
        <f t="shared" si="41"/>
        <v>#NAME?</v>
      </c>
      <c r="CL6" s="68" t="e">
        <f t="shared" si="42"/>
        <v>#NAME?</v>
      </c>
      <c r="CM6" s="69" t="e">
        <f t="shared" si="43"/>
        <v>#NAME?</v>
      </c>
      <c r="CN6" s="77">
        <v>0.4916666666666667</v>
      </c>
      <c r="CO6" s="74"/>
      <c r="CP6" s="68" t="e">
        <f t="shared" si="44"/>
        <v>#NAME?</v>
      </c>
      <c r="CQ6" s="118" t="e">
        <f t="shared" si="45"/>
        <v>#NAME?</v>
      </c>
      <c r="CS6" s="380">
        <f t="shared" ref="CS6:CS25" si="46">BC6-AX6</f>
        <v>1.0763888888888795E-2</v>
      </c>
      <c r="CW6" s="12">
        <f t="shared" ref="CW6:CW25" si="47">AF6+CD6</f>
        <v>360</v>
      </c>
    </row>
    <row r="7" spans="1:101" x14ac:dyDescent="0.25">
      <c r="A7" s="259">
        <f t="shared" ref="A7:A19" si="48">1+A6</f>
        <v>3</v>
      </c>
      <c r="B7" s="373">
        <v>15</v>
      </c>
      <c r="C7" s="311"/>
      <c r="D7" s="211" t="s">
        <v>111</v>
      </c>
      <c r="E7" s="212" t="s">
        <v>440</v>
      </c>
      <c r="F7" s="212" t="s">
        <v>40</v>
      </c>
      <c r="G7" s="381" t="s">
        <v>112</v>
      </c>
      <c r="H7" s="213" t="s">
        <v>28</v>
      </c>
      <c r="I7" s="213"/>
      <c r="J7" s="177">
        <f t="shared" si="0"/>
        <v>707.3</v>
      </c>
      <c r="K7" s="123"/>
      <c r="L7" s="78"/>
      <c r="M7" s="67">
        <v>0.51041666666666663</v>
      </c>
      <c r="N7" s="118">
        <f t="shared" si="1"/>
        <v>0</v>
      </c>
      <c r="O7" s="76">
        <f t="shared" si="2"/>
        <v>60</v>
      </c>
      <c r="P7" s="122">
        <f t="shared" si="3"/>
        <v>0</v>
      </c>
      <c r="Q7" s="117">
        <f t="shared" si="4"/>
        <v>0.55208333333333326</v>
      </c>
      <c r="R7" s="176">
        <v>0.55208333333333337</v>
      </c>
      <c r="S7" s="68">
        <f t="shared" si="5"/>
        <v>0</v>
      </c>
      <c r="T7" s="118">
        <f t="shared" si="6"/>
        <v>0</v>
      </c>
      <c r="U7" s="76">
        <f t="shared" si="7"/>
        <v>25</v>
      </c>
      <c r="V7" s="122">
        <v>0</v>
      </c>
      <c r="W7" s="117">
        <f t="shared" si="8"/>
        <v>0.57013888888888897</v>
      </c>
      <c r="X7" s="176">
        <v>0.56944444444444442</v>
      </c>
      <c r="Y7" s="68">
        <f t="shared" si="9"/>
        <v>-1</v>
      </c>
      <c r="Z7" s="118">
        <f t="shared" si="10"/>
        <v>0</v>
      </c>
      <c r="AA7" s="76">
        <f t="shared" si="11"/>
        <v>7</v>
      </c>
      <c r="AB7" s="122">
        <v>0</v>
      </c>
      <c r="AC7" s="117">
        <f t="shared" si="12"/>
        <v>0.57430555555555551</v>
      </c>
      <c r="AD7" s="176">
        <v>0.57430555555555551</v>
      </c>
      <c r="AE7" s="68">
        <f t="shared" si="13"/>
        <v>0</v>
      </c>
      <c r="AF7" s="118">
        <f t="shared" si="14"/>
        <v>0</v>
      </c>
      <c r="AG7" s="76">
        <f t="shared" si="15"/>
        <v>70</v>
      </c>
      <c r="AH7" s="122">
        <v>0</v>
      </c>
      <c r="AI7" s="117">
        <f t="shared" si="16"/>
        <v>0.62569444444444444</v>
      </c>
      <c r="AJ7" s="68">
        <f t="shared" si="17"/>
        <v>7</v>
      </c>
      <c r="AK7" s="176">
        <v>0.62430555555555556</v>
      </c>
      <c r="AL7" s="68">
        <f t="shared" si="18"/>
        <v>-2</v>
      </c>
      <c r="AM7" s="118">
        <f t="shared" si="19"/>
        <v>0</v>
      </c>
      <c r="AN7" s="121"/>
      <c r="AO7" s="75">
        <v>0.52695601851851859</v>
      </c>
      <c r="AP7" s="72">
        <f t="shared" si="20"/>
        <v>0</v>
      </c>
      <c r="AQ7" s="68">
        <f t="shared" si="21"/>
        <v>443</v>
      </c>
      <c r="AR7" s="59">
        <f t="shared" si="22"/>
        <v>0.53208333333333335</v>
      </c>
      <c r="AS7" s="75">
        <v>0.53247685185185178</v>
      </c>
      <c r="AT7" s="73">
        <f t="shared" si="23"/>
        <v>34</v>
      </c>
      <c r="AU7" s="74"/>
      <c r="AV7" s="119">
        <f t="shared" si="24"/>
        <v>34</v>
      </c>
      <c r="AW7" s="121"/>
      <c r="AX7" s="70">
        <v>0.55277777777777781</v>
      </c>
      <c r="AY7" s="72">
        <f t="shared" si="25"/>
        <v>0</v>
      </c>
      <c r="AZ7" s="68">
        <f t="shared" si="26"/>
        <v>478</v>
      </c>
      <c r="BA7" s="71">
        <v>950</v>
      </c>
      <c r="BB7" s="59">
        <f t="shared" si="27"/>
        <v>0.56377314814814816</v>
      </c>
      <c r="BC7" s="75">
        <v>0.56374999999999997</v>
      </c>
      <c r="BD7" s="73">
        <f t="shared" si="28"/>
        <v>-2</v>
      </c>
      <c r="BE7" s="74"/>
      <c r="BF7" s="119">
        <f t="shared" si="29"/>
        <v>0</v>
      </c>
      <c r="BG7" s="121"/>
      <c r="BH7" s="70">
        <v>0.57708333333333328</v>
      </c>
      <c r="BI7" s="72">
        <f t="shared" si="30"/>
        <v>0</v>
      </c>
      <c r="BJ7" s="68">
        <f t="shared" si="31"/>
        <v>1393</v>
      </c>
      <c r="BK7" s="59">
        <f t="shared" si="32"/>
        <v>0.59320601851851851</v>
      </c>
      <c r="BL7" s="75">
        <v>0.60003472222222221</v>
      </c>
      <c r="BM7" s="73">
        <f t="shared" si="33"/>
        <v>590</v>
      </c>
      <c r="BN7" s="74"/>
      <c r="BO7" s="119">
        <f t="shared" si="34"/>
        <v>590</v>
      </c>
      <c r="BP7" s="121"/>
      <c r="BQ7" s="271">
        <v>0</v>
      </c>
      <c r="BR7" s="303">
        <f t="shared" si="35"/>
        <v>0</v>
      </c>
      <c r="BS7" s="304">
        <v>0</v>
      </c>
      <c r="BT7" s="375">
        <v>83.3</v>
      </c>
      <c r="BU7" s="376">
        <f t="shared" si="36"/>
        <v>83.3</v>
      </c>
      <c r="BV7" s="377"/>
      <c r="BW7" s="377"/>
      <c r="BX7" s="74"/>
      <c r="BY7" s="74"/>
      <c r="BZ7" s="119">
        <f t="shared" si="37"/>
        <v>83.3</v>
      </c>
      <c r="CA7" s="65" t="s">
        <v>519</v>
      </c>
      <c r="CB7" s="66" t="s">
        <v>519</v>
      </c>
      <c r="CC7" s="209">
        <v>0</v>
      </c>
      <c r="CD7" s="124">
        <f t="shared" si="38"/>
        <v>0</v>
      </c>
      <c r="CE7" s="210"/>
      <c r="CF7" s="124">
        <f t="shared" si="39"/>
        <v>0</v>
      </c>
      <c r="CI7" s="67" t="s">
        <v>237</v>
      </c>
      <c r="CJ7" s="118">
        <f t="shared" si="40"/>
        <v>0</v>
      </c>
      <c r="CK7" s="76" t="e">
        <f t="shared" si="41"/>
        <v>#NAME?</v>
      </c>
      <c r="CL7" s="68" t="e">
        <f t="shared" si="42"/>
        <v>#NAME?</v>
      </c>
      <c r="CM7" s="69" t="e">
        <f t="shared" si="43"/>
        <v>#NAME?</v>
      </c>
      <c r="CN7" s="77">
        <v>0.4916666666666667</v>
      </c>
      <c r="CO7" s="74"/>
      <c r="CP7" s="68" t="e">
        <f t="shared" si="44"/>
        <v>#NAME?</v>
      </c>
      <c r="CQ7" s="118" t="e">
        <f t="shared" si="45"/>
        <v>#NAME?</v>
      </c>
      <c r="CS7" s="380">
        <f t="shared" si="46"/>
        <v>1.0972222222222161E-2</v>
      </c>
      <c r="CW7" s="12">
        <f>AF7+CD7+AV7+BO7</f>
        <v>624</v>
      </c>
    </row>
    <row r="8" spans="1:101" x14ac:dyDescent="0.25">
      <c r="A8" s="259">
        <f t="shared" si="48"/>
        <v>4</v>
      </c>
      <c r="B8" s="373">
        <v>9</v>
      </c>
      <c r="C8" s="311"/>
      <c r="D8" s="211" t="s">
        <v>246</v>
      </c>
      <c r="E8" s="212" t="s">
        <v>442</v>
      </c>
      <c r="F8" s="212" t="s">
        <v>248</v>
      </c>
      <c r="G8" s="212" t="s">
        <v>247</v>
      </c>
      <c r="H8" s="213" t="s">
        <v>28</v>
      </c>
      <c r="I8" s="213"/>
      <c r="J8" s="177">
        <f t="shared" si="0"/>
        <v>805.7</v>
      </c>
      <c r="K8" s="123"/>
      <c r="L8" s="78"/>
      <c r="M8" s="67">
        <v>0.50624999999999998</v>
      </c>
      <c r="N8" s="118">
        <f t="shared" si="1"/>
        <v>0</v>
      </c>
      <c r="O8" s="76">
        <f t="shared" si="2"/>
        <v>60</v>
      </c>
      <c r="P8" s="122">
        <f t="shared" si="3"/>
        <v>0</v>
      </c>
      <c r="Q8" s="117">
        <f t="shared" si="4"/>
        <v>0.54791666666666661</v>
      </c>
      <c r="R8" s="176">
        <v>0.54722222222222217</v>
      </c>
      <c r="S8" s="68">
        <f t="shared" si="5"/>
        <v>-1</v>
      </c>
      <c r="T8" s="118">
        <f t="shared" si="6"/>
        <v>0</v>
      </c>
      <c r="U8" s="76">
        <f t="shared" si="7"/>
        <v>25</v>
      </c>
      <c r="V8" s="122">
        <v>0</v>
      </c>
      <c r="W8" s="117">
        <f t="shared" si="8"/>
        <v>0.56597222222222221</v>
      </c>
      <c r="X8" s="176">
        <v>0.56458333333333333</v>
      </c>
      <c r="Y8" s="68">
        <f t="shared" si="9"/>
        <v>-2</v>
      </c>
      <c r="Z8" s="118">
        <f t="shared" si="10"/>
        <v>240</v>
      </c>
      <c r="AA8" s="76">
        <f t="shared" si="11"/>
        <v>7</v>
      </c>
      <c r="AB8" s="122">
        <v>0</v>
      </c>
      <c r="AC8" s="117">
        <f t="shared" si="12"/>
        <v>0.56944444444444442</v>
      </c>
      <c r="AD8" s="176">
        <v>0.57361111111111118</v>
      </c>
      <c r="AE8" s="68">
        <f t="shared" si="13"/>
        <v>6</v>
      </c>
      <c r="AF8" s="118">
        <f t="shared" si="14"/>
        <v>360</v>
      </c>
      <c r="AG8" s="76">
        <f t="shared" si="15"/>
        <v>70</v>
      </c>
      <c r="AH8" s="122">
        <v>0</v>
      </c>
      <c r="AI8" s="117">
        <f t="shared" si="16"/>
        <v>0.62430555555555556</v>
      </c>
      <c r="AJ8" s="68">
        <f t="shared" si="17"/>
        <v>7</v>
      </c>
      <c r="AK8" s="176">
        <v>0.62152777777777779</v>
      </c>
      <c r="AL8" s="68">
        <f t="shared" si="18"/>
        <v>-4</v>
      </c>
      <c r="AM8" s="118">
        <f t="shared" si="19"/>
        <v>0</v>
      </c>
      <c r="AN8" s="121"/>
      <c r="AO8" s="75">
        <v>0.52444444444444438</v>
      </c>
      <c r="AP8" s="72">
        <f t="shared" si="20"/>
        <v>0</v>
      </c>
      <c r="AQ8" s="68">
        <f t="shared" si="21"/>
        <v>443</v>
      </c>
      <c r="AR8" s="59">
        <f t="shared" si="22"/>
        <v>0.52957175925925914</v>
      </c>
      <c r="AS8" s="75">
        <v>0.52952546296296299</v>
      </c>
      <c r="AT8" s="73">
        <f t="shared" si="23"/>
        <v>-4</v>
      </c>
      <c r="AU8" s="74"/>
      <c r="AV8" s="119">
        <f t="shared" si="24"/>
        <v>4</v>
      </c>
      <c r="AW8" s="121"/>
      <c r="AX8" s="70">
        <v>0.54861111111111105</v>
      </c>
      <c r="AY8" s="72">
        <f t="shared" si="25"/>
        <v>0</v>
      </c>
      <c r="AZ8" s="68">
        <f t="shared" si="26"/>
        <v>478</v>
      </c>
      <c r="BA8" s="71">
        <v>950</v>
      </c>
      <c r="BB8" s="59">
        <f t="shared" si="27"/>
        <v>0.5596064814814814</v>
      </c>
      <c r="BC8" s="75">
        <v>0.55982638888888892</v>
      </c>
      <c r="BD8" s="73">
        <f t="shared" si="28"/>
        <v>19</v>
      </c>
      <c r="BE8" s="74"/>
      <c r="BF8" s="119">
        <f t="shared" si="29"/>
        <v>19</v>
      </c>
      <c r="BG8" s="121"/>
      <c r="BH8" s="70">
        <v>0.5756944444444444</v>
      </c>
      <c r="BI8" s="72">
        <f t="shared" si="30"/>
        <v>0</v>
      </c>
      <c r="BJ8" s="68">
        <f t="shared" si="31"/>
        <v>1393</v>
      </c>
      <c r="BK8" s="59">
        <f t="shared" si="32"/>
        <v>0.59181712962962962</v>
      </c>
      <c r="BL8" s="75">
        <v>0.59035879629629628</v>
      </c>
      <c r="BM8" s="73">
        <f t="shared" si="33"/>
        <v>-126</v>
      </c>
      <c r="BN8" s="74"/>
      <c r="BO8" s="119">
        <f t="shared" si="34"/>
        <v>126</v>
      </c>
      <c r="BP8" s="121"/>
      <c r="BQ8" s="271">
        <v>0</v>
      </c>
      <c r="BR8" s="303">
        <f t="shared" si="35"/>
        <v>0</v>
      </c>
      <c r="BS8" s="304">
        <v>0</v>
      </c>
      <c r="BT8" s="175">
        <v>56.7</v>
      </c>
      <c r="BU8" s="305">
        <f t="shared" si="36"/>
        <v>56.7</v>
      </c>
      <c r="BV8" s="74"/>
      <c r="BW8" s="74"/>
      <c r="BX8" s="74"/>
      <c r="BY8" s="74"/>
      <c r="BZ8" s="119">
        <f t="shared" si="37"/>
        <v>56.7</v>
      </c>
      <c r="CA8" s="65" t="s">
        <v>519</v>
      </c>
      <c r="CB8" s="66" t="s">
        <v>519</v>
      </c>
      <c r="CC8" s="209">
        <v>0</v>
      </c>
      <c r="CD8" s="124">
        <f t="shared" si="38"/>
        <v>0</v>
      </c>
      <c r="CE8" s="210"/>
      <c r="CF8" s="124">
        <f t="shared" si="39"/>
        <v>0</v>
      </c>
      <c r="CI8" s="67" t="s">
        <v>237</v>
      </c>
      <c r="CJ8" s="118">
        <f t="shared" si="40"/>
        <v>0</v>
      </c>
      <c r="CK8" s="76" t="e">
        <f t="shared" si="41"/>
        <v>#NAME?</v>
      </c>
      <c r="CL8" s="68" t="e">
        <f t="shared" si="42"/>
        <v>#NAME?</v>
      </c>
      <c r="CM8" s="69" t="e">
        <f t="shared" si="43"/>
        <v>#NAME?</v>
      </c>
      <c r="CN8" s="77">
        <v>0.4916666666666667</v>
      </c>
      <c r="CO8" s="74"/>
      <c r="CP8" s="68" t="e">
        <f t="shared" si="44"/>
        <v>#NAME?</v>
      </c>
      <c r="CQ8" s="118" t="e">
        <f t="shared" si="45"/>
        <v>#NAME?</v>
      </c>
      <c r="CS8" s="380">
        <f t="shared" si="46"/>
        <v>1.1215277777777866E-2</v>
      </c>
      <c r="CW8" s="12">
        <f t="shared" si="47"/>
        <v>360</v>
      </c>
    </row>
    <row r="9" spans="1:101" x14ac:dyDescent="0.25">
      <c r="A9" s="259">
        <f t="shared" si="48"/>
        <v>5</v>
      </c>
      <c r="B9" s="373">
        <v>2</v>
      </c>
      <c r="C9" s="311"/>
      <c r="D9" s="211" t="s">
        <v>131</v>
      </c>
      <c r="E9" s="212" t="s">
        <v>240</v>
      </c>
      <c r="F9" s="212" t="s">
        <v>132</v>
      </c>
      <c r="G9" s="212" t="s">
        <v>133</v>
      </c>
      <c r="H9" s="213" t="s">
        <v>28</v>
      </c>
      <c r="I9" s="213"/>
      <c r="J9" s="177">
        <f t="shared" si="0"/>
        <v>1363.1</v>
      </c>
      <c r="K9" s="123"/>
      <c r="L9" s="78"/>
      <c r="M9" s="67">
        <v>0.50138888888888888</v>
      </c>
      <c r="N9" s="118">
        <f t="shared" si="1"/>
        <v>0</v>
      </c>
      <c r="O9" s="76">
        <f t="shared" si="2"/>
        <v>60</v>
      </c>
      <c r="P9" s="122">
        <f t="shared" si="3"/>
        <v>0</v>
      </c>
      <c r="Q9" s="117">
        <f t="shared" si="4"/>
        <v>0.54305555555555551</v>
      </c>
      <c r="R9" s="176">
        <v>0.54305555555555551</v>
      </c>
      <c r="S9" s="68">
        <f t="shared" si="5"/>
        <v>0</v>
      </c>
      <c r="T9" s="118">
        <f t="shared" si="6"/>
        <v>0</v>
      </c>
      <c r="U9" s="76">
        <f t="shared" si="7"/>
        <v>25</v>
      </c>
      <c r="V9" s="122">
        <v>0</v>
      </c>
      <c r="W9" s="117">
        <f t="shared" si="8"/>
        <v>0.56180555555555556</v>
      </c>
      <c r="X9" s="176">
        <v>0.56180555555555556</v>
      </c>
      <c r="Y9" s="68">
        <f t="shared" si="9"/>
        <v>0</v>
      </c>
      <c r="Z9" s="118">
        <f t="shared" si="10"/>
        <v>0</v>
      </c>
      <c r="AA9" s="76">
        <f t="shared" si="11"/>
        <v>7</v>
      </c>
      <c r="AB9" s="122">
        <v>0</v>
      </c>
      <c r="AC9" s="117">
        <f t="shared" si="12"/>
        <v>0.56666666666666665</v>
      </c>
      <c r="AD9" s="176">
        <v>0.57361111111111118</v>
      </c>
      <c r="AE9" s="68">
        <f t="shared" si="13"/>
        <v>10</v>
      </c>
      <c r="AF9" s="118">
        <f t="shared" si="14"/>
        <v>600</v>
      </c>
      <c r="AG9" s="76">
        <f t="shared" si="15"/>
        <v>70</v>
      </c>
      <c r="AH9" s="122">
        <v>0</v>
      </c>
      <c r="AI9" s="117">
        <f t="shared" si="16"/>
        <v>0.62361111111111123</v>
      </c>
      <c r="AJ9" s="68">
        <f t="shared" si="17"/>
        <v>7</v>
      </c>
      <c r="AK9" s="176">
        <v>0.62291666666666667</v>
      </c>
      <c r="AL9" s="68">
        <f t="shared" si="18"/>
        <v>-1</v>
      </c>
      <c r="AM9" s="118">
        <f t="shared" si="19"/>
        <v>0</v>
      </c>
      <c r="AN9" s="121"/>
      <c r="AO9" s="75">
        <v>0.52105324074074078</v>
      </c>
      <c r="AP9" s="72">
        <f t="shared" si="20"/>
        <v>0</v>
      </c>
      <c r="AQ9" s="68">
        <f t="shared" si="21"/>
        <v>443</v>
      </c>
      <c r="AR9" s="59">
        <f t="shared" si="22"/>
        <v>0.52618055555555554</v>
      </c>
      <c r="AS9" s="75">
        <v>0.52711805555555558</v>
      </c>
      <c r="AT9" s="73">
        <f t="shared" si="23"/>
        <v>81</v>
      </c>
      <c r="AU9" s="74"/>
      <c r="AV9" s="119">
        <f t="shared" si="24"/>
        <v>81</v>
      </c>
      <c r="AW9" s="121"/>
      <c r="AX9" s="70">
        <v>0.5444444444444444</v>
      </c>
      <c r="AY9" s="72">
        <f t="shared" si="25"/>
        <v>0</v>
      </c>
      <c r="AZ9" s="68">
        <f t="shared" si="26"/>
        <v>478</v>
      </c>
      <c r="BA9" s="71">
        <v>950</v>
      </c>
      <c r="BB9" s="59">
        <f t="shared" si="27"/>
        <v>0.55543981481481475</v>
      </c>
      <c r="BC9" s="75">
        <v>0.552800925925926</v>
      </c>
      <c r="BD9" s="73">
        <f t="shared" si="28"/>
        <v>-228</v>
      </c>
      <c r="BE9" s="74"/>
      <c r="BF9" s="119">
        <f t="shared" si="29"/>
        <v>0</v>
      </c>
      <c r="BG9" s="121"/>
      <c r="BH9" s="70">
        <v>0.57500000000000007</v>
      </c>
      <c r="BI9" s="72">
        <f t="shared" si="30"/>
        <v>0</v>
      </c>
      <c r="BJ9" s="68">
        <f t="shared" si="31"/>
        <v>1393</v>
      </c>
      <c r="BK9" s="59">
        <f t="shared" si="32"/>
        <v>0.59112268518518529</v>
      </c>
      <c r="BL9" s="75">
        <v>0.59280092592592593</v>
      </c>
      <c r="BM9" s="73">
        <f t="shared" si="33"/>
        <v>145</v>
      </c>
      <c r="BN9" s="74"/>
      <c r="BO9" s="119">
        <f t="shared" si="34"/>
        <v>145</v>
      </c>
      <c r="BP9" s="121"/>
      <c r="BQ9" s="271">
        <v>0</v>
      </c>
      <c r="BR9" s="303">
        <f t="shared" si="35"/>
        <v>0</v>
      </c>
      <c r="BS9" s="304">
        <v>0</v>
      </c>
      <c r="BT9" s="175">
        <v>57.08</v>
      </c>
      <c r="BU9" s="305">
        <f t="shared" si="36"/>
        <v>57.1</v>
      </c>
      <c r="BV9" s="74"/>
      <c r="BW9" s="74"/>
      <c r="BX9" s="74"/>
      <c r="BY9" s="74"/>
      <c r="BZ9" s="119">
        <f t="shared" si="37"/>
        <v>57.1</v>
      </c>
      <c r="CA9" s="65" t="s">
        <v>518</v>
      </c>
      <c r="CB9" s="66" t="s">
        <v>519</v>
      </c>
      <c r="CC9" s="209">
        <v>4</v>
      </c>
      <c r="CD9" s="124">
        <f t="shared" si="38"/>
        <v>480</v>
      </c>
      <c r="CE9" s="210"/>
      <c r="CF9" s="124">
        <f t="shared" si="39"/>
        <v>0</v>
      </c>
      <c r="CI9" s="67" t="s">
        <v>237</v>
      </c>
      <c r="CJ9" s="118">
        <f t="shared" si="40"/>
        <v>0</v>
      </c>
      <c r="CK9" s="76" t="e">
        <f t="shared" si="41"/>
        <v>#NAME?</v>
      </c>
      <c r="CL9" s="68" t="e">
        <f t="shared" si="42"/>
        <v>#NAME?</v>
      </c>
      <c r="CM9" s="69" t="e">
        <f t="shared" si="43"/>
        <v>#NAME?</v>
      </c>
      <c r="CN9" s="77">
        <v>0.4916666666666667</v>
      </c>
      <c r="CO9" s="74"/>
      <c r="CP9" s="68" t="e">
        <f t="shared" si="44"/>
        <v>#NAME?</v>
      </c>
      <c r="CQ9" s="118" t="e">
        <f t="shared" si="45"/>
        <v>#NAME?</v>
      </c>
      <c r="CS9" s="380">
        <f t="shared" si="46"/>
        <v>8.3564814814816035E-3</v>
      </c>
      <c r="CW9" s="12">
        <f t="shared" si="47"/>
        <v>1080</v>
      </c>
    </row>
    <row r="10" spans="1:101" x14ac:dyDescent="0.25">
      <c r="A10" s="259">
        <f t="shared" si="48"/>
        <v>6</v>
      </c>
      <c r="B10" s="373">
        <v>17</v>
      </c>
      <c r="C10" s="311"/>
      <c r="D10" s="211" t="s">
        <v>42</v>
      </c>
      <c r="E10" s="212" t="s">
        <v>443</v>
      </c>
      <c r="F10" s="212" t="s">
        <v>43</v>
      </c>
      <c r="G10" s="212" t="s">
        <v>113</v>
      </c>
      <c r="H10" s="213" t="s">
        <v>28</v>
      </c>
      <c r="I10" s="213"/>
      <c r="J10" s="177">
        <f t="shared" si="0"/>
        <v>1370.7</v>
      </c>
      <c r="K10" s="123"/>
      <c r="L10" s="78"/>
      <c r="M10" s="67">
        <v>0.51180555555555551</v>
      </c>
      <c r="N10" s="118">
        <f t="shared" si="1"/>
        <v>0</v>
      </c>
      <c r="O10" s="76">
        <f t="shared" si="2"/>
        <v>60</v>
      </c>
      <c r="P10" s="122">
        <f t="shared" si="3"/>
        <v>0</v>
      </c>
      <c r="Q10" s="117">
        <f t="shared" si="4"/>
        <v>0.55347222222222214</v>
      </c>
      <c r="R10" s="176">
        <v>0.55347222222222225</v>
      </c>
      <c r="S10" s="68">
        <f t="shared" si="5"/>
        <v>0</v>
      </c>
      <c r="T10" s="118">
        <f t="shared" si="6"/>
        <v>0</v>
      </c>
      <c r="U10" s="76">
        <f t="shared" si="7"/>
        <v>25</v>
      </c>
      <c r="V10" s="122">
        <v>0</v>
      </c>
      <c r="W10" s="117">
        <f t="shared" si="8"/>
        <v>0.5722222222222223</v>
      </c>
      <c r="X10" s="176">
        <v>0.57222222222222219</v>
      </c>
      <c r="Y10" s="68">
        <f t="shared" si="9"/>
        <v>0</v>
      </c>
      <c r="Z10" s="118">
        <f t="shared" si="10"/>
        <v>0</v>
      </c>
      <c r="AA10" s="76">
        <f t="shared" si="11"/>
        <v>7</v>
      </c>
      <c r="AB10" s="122">
        <v>0</v>
      </c>
      <c r="AC10" s="117">
        <f t="shared" si="12"/>
        <v>0.57708333333333328</v>
      </c>
      <c r="AD10" s="176">
        <v>0.57708333333333328</v>
      </c>
      <c r="AE10" s="68">
        <f t="shared" si="13"/>
        <v>0</v>
      </c>
      <c r="AF10" s="118">
        <f t="shared" si="14"/>
        <v>0</v>
      </c>
      <c r="AG10" s="76">
        <f t="shared" si="15"/>
        <v>70</v>
      </c>
      <c r="AH10" s="122">
        <v>0</v>
      </c>
      <c r="AI10" s="117">
        <f t="shared" si="16"/>
        <v>0.62708333333333333</v>
      </c>
      <c r="AJ10" s="68">
        <f t="shared" si="17"/>
        <v>7</v>
      </c>
      <c r="AK10" s="176">
        <v>0.62916666666666665</v>
      </c>
      <c r="AL10" s="68">
        <f t="shared" si="18"/>
        <v>3</v>
      </c>
      <c r="AM10" s="118">
        <f t="shared" si="19"/>
        <v>180</v>
      </c>
      <c r="AN10" s="121"/>
      <c r="AO10" s="75">
        <v>0.52972222222222221</v>
      </c>
      <c r="AP10" s="72">
        <f t="shared" si="20"/>
        <v>0</v>
      </c>
      <c r="AQ10" s="68">
        <f t="shared" si="21"/>
        <v>443</v>
      </c>
      <c r="AR10" s="59">
        <f t="shared" si="22"/>
        <v>0.53484953703703697</v>
      </c>
      <c r="AS10" s="75">
        <v>0.53469907407407413</v>
      </c>
      <c r="AT10" s="73">
        <f t="shared" si="23"/>
        <v>-13</v>
      </c>
      <c r="AU10" s="74"/>
      <c r="AV10" s="119">
        <f t="shared" si="24"/>
        <v>13</v>
      </c>
      <c r="AW10" s="121"/>
      <c r="AX10" s="70">
        <v>0.55486111111111114</v>
      </c>
      <c r="AY10" s="72">
        <f t="shared" si="25"/>
        <v>0</v>
      </c>
      <c r="AZ10" s="68">
        <f t="shared" si="26"/>
        <v>478</v>
      </c>
      <c r="BA10" s="71">
        <v>950</v>
      </c>
      <c r="BB10" s="59">
        <f t="shared" si="27"/>
        <v>0.56585648148148149</v>
      </c>
      <c r="BC10" s="75">
        <v>0.56603009259259263</v>
      </c>
      <c r="BD10" s="73">
        <f t="shared" si="28"/>
        <v>15</v>
      </c>
      <c r="BE10" s="74"/>
      <c r="BF10" s="119">
        <f t="shared" si="29"/>
        <v>15</v>
      </c>
      <c r="BG10" s="121"/>
      <c r="BH10" s="70">
        <v>0.57847222222222217</v>
      </c>
      <c r="BI10" s="72">
        <f t="shared" si="30"/>
        <v>0</v>
      </c>
      <c r="BJ10" s="68">
        <f t="shared" si="31"/>
        <v>1393</v>
      </c>
      <c r="BK10" s="59">
        <f t="shared" si="32"/>
        <v>0.59459490740740739</v>
      </c>
      <c r="BL10" s="75">
        <v>0.60709490740740735</v>
      </c>
      <c r="BM10" s="73">
        <f t="shared" si="33"/>
        <v>1080</v>
      </c>
      <c r="BN10" s="74"/>
      <c r="BO10" s="119">
        <f t="shared" si="34"/>
        <v>1080</v>
      </c>
      <c r="BP10" s="121"/>
      <c r="BQ10" s="271">
        <v>0</v>
      </c>
      <c r="BR10" s="303">
        <f t="shared" si="35"/>
        <v>0</v>
      </c>
      <c r="BS10" s="304">
        <v>0</v>
      </c>
      <c r="BT10" s="175">
        <v>72.650000000000006</v>
      </c>
      <c r="BU10" s="305">
        <f t="shared" si="36"/>
        <v>72.7</v>
      </c>
      <c r="BV10" s="74"/>
      <c r="BW10" s="74">
        <v>1</v>
      </c>
      <c r="BX10" s="74"/>
      <c r="BY10" s="74"/>
      <c r="BZ10" s="119">
        <f t="shared" si="37"/>
        <v>82.7</v>
      </c>
      <c r="CA10" s="65" t="s">
        <v>519</v>
      </c>
      <c r="CB10" s="66" t="s">
        <v>519</v>
      </c>
      <c r="CC10" s="209">
        <v>0</v>
      </c>
      <c r="CD10" s="124">
        <f t="shared" si="38"/>
        <v>0</v>
      </c>
      <c r="CE10" s="210"/>
      <c r="CF10" s="124">
        <f t="shared" si="39"/>
        <v>0</v>
      </c>
      <c r="CI10" s="67" t="s">
        <v>237</v>
      </c>
      <c r="CJ10" s="118">
        <f t="shared" si="40"/>
        <v>0</v>
      </c>
      <c r="CK10" s="76" t="e">
        <f t="shared" si="41"/>
        <v>#NAME?</v>
      </c>
      <c r="CL10" s="68" t="e">
        <f t="shared" si="42"/>
        <v>#NAME?</v>
      </c>
      <c r="CM10" s="69" t="e">
        <f t="shared" si="43"/>
        <v>#NAME?</v>
      </c>
      <c r="CN10" s="77">
        <v>0.4916666666666667</v>
      </c>
      <c r="CO10" s="74"/>
      <c r="CP10" s="68" t="e">
        <f t="shared" si="44"/>
        <v>#NAME?</v>
      </c>
      <c r="CQ10" s="118" t="e">
        <f t="shared" si="45"/>
        <v>#NAME?</v>
      </c>
      <c r="CS10" s="380">
        <f t="shared" si="46"/>
        <v>1.1168981481481488E-2</v>
      </c>
      <c r="CW10" s="12">
        <f>AF10+CD10+AV10+BO10</f>
        <v>1093</v>
      </c>
    </row>
    <row r="11" spans="1:101" x14ac:dyDescent="0.25">
      <c r="A11" s="259">
        <f t="shared" si="48"/>
        <v>7</v>
      </c>
      <c r="B11" s="373">
        <v>13</v>
      </c>
      <c r="C11" s="311"/>
      <c r="D11" s="211" t="s">
        <v>452</v>
      </c>
      <c r="E11" s="212" t="s">
        <v>453</v>
      </c>
      <c r="F11" s="212" t="s">
        <v>454</v>
      </c>
      <c r="G11" s="212" t="s">
        <v>455</v>
      </c>
      <c r="H11" s="213" t="s">
        <v>28</v>
      </c>
      <c r="I11" s="213"/>
      <c r="J11" s="177">
        <f t="shared" si="0"/>
        <v>1409.2</v>
      </c>
      <c r="K11" s="123"/>
      <c r="L11" s="78" t="s">
        <v>529</v>
      </c>
      <c r="M11" s="67">
        <v>0.50902777777777775</v>
      </c>
      <c r="N11" s="118">
        <f t="shared" si="1"/>
        <v>0</v>
      </c>
      <c r="O11" s="76">
        <f t="shared" si="2"/>
        <v>60</v>
      </c>
      <c r="P11" s="122">
        <f t="shared" si="3"/>
        <v>0</v>
      </c>
      <c r="Q11" s="117">
        <f t="shared" si="4"/>
        <v>0.55069444444444438</v>
      </c>
      <c r="R11" s="176">
        <v>0.55069444444444449</v>
      </c>
      <c r="S11" s="68">
        <f t="shared" si="5"/>
        <v>0</v>
      </c>
      <c r="T11" s="118">
        <f t="shared" si="6"/>
        <v>0</v>
      </c>
      <c r="U11" s="76">
        <f t="shared" si="7"/>
        <v>25</v>
      </c>
      <c r="V11" s="122">
        <v>0</v>
      </c>
      <c r="W11" s="117">
        <f t="shared" si="8"/>
        <v>0.56874999999999998</v>
      </c>
      <c r="X11" s="176">
        <v>0.56805555555555554</v>
      </c>
      <c r="Y11" s="68">
        <f t="shared" si="9"/>
        <v>-1</v>
      </c>
      <c r="Z11" s="118">
        <f t="shared" si="10"/>
        <v>0</v>
      </c>
      <c r="AA11" s="76">
        <f t="shared" si="11"/>
        <v>7</v>
      </c>
      <c r="AB11" s="122">
        <v>0</v>
      </c>
      <c r="AC11" s="117">
        <f t="shared" si="12"/>
        <v>0.57291666666666663</v>
      </c>
      <c r="AD11" s="176">
        <v>0.57430555555555551</v>
      </c>
      <c r="AE11" s="68">
        <f t="shared" si="13"/>
        <v>2</v>
      </c>
      <c r="AF11" s="118">
        <f t="shared" si="14"/>
        <v>120</v>
      </c>
      <c r="AG11" s="76">
        <f t="shared" si="15"/>
        <v>70</v>
      </c>
      <c r="AH11" s="122">
        <v>0</v>
      </c>
      <c r="AI11" s="117">
        <f t="shared" si="16"/>
        <v>0.62500000000000011</v>
      </c>
      <c r="AJ11" s="68">
        <f t="shared" si="17"/>
        <v>7</v>
      </c>
      <c r="AK11" s="176">
        <v>0.625</v>
      </c>
      <c r="AL11" s="68">
        <f t="shared" si="18"/>
        <v>0</v>
      </c>
      <c r="AM11" s="118">
        <f t="shared" si="19"/>
        <v>0</v>
      </c>
      <c r="AN11" s="121"/>
      <c r="AO11" s="75">
        <v>0.52697916666666667</v>
      </c>
      <c r="AP11" s="72">
        <f t="shared" si="20"/>
        <v>0</v>
      </c>
      <c r="AQ11" s="68">
        <f t="shared" si="21"/>
        <v>443</v>
      </c>
      <c r="AR11" s="59">
        <f t="shared" si="22"/>
        <v>0.53210648148148143</v>
      </c>
      <c r="AS11" s="75">
        <v>0.53196759259259252</v>
      </c>
      <c r="AT11" s="73">
        <f t="shared" si="23"/>
        <v>-12</v>
      </c>
      <c r="AU11" s="74"/>
      <c r="AV11" s="119">
        <f t="shared" si="24"/>
        <v>12</v>
      </c>
      <c r="AW11" s="121"/>
      <c r="AX11" s="70">
        <v>0.55138888888888882</v>
      </c>
      <c r="AY11" s="72">
        <f t="shared" si="25"/>
        <v>0</v>
      </c>
      <c r="AZ11" s="68">
        <f t="shared" si="26"/>
        <v>478</v>
      </c>
      <c r="BA11" s="71">
        <v>950</v>
      </c>
      <c r="BB11" s="59">
        <f t="shared" si="27"/>
        <v>0.56238425925925917</v>
      </c>
      <c r="BC11" s="75">
        <v>0.56262731481481476</v>
      </c>
      <c r="BD11" s="73">
        <f t="shared" si="28"/>
        <v>21</v>
      </c>
      <c r="BE11" s="74"/>
      <c r="BF11" s="119">
        <f t="shared" si="29"/>
        <v>21</v>
      </c>
      <c r="BG11" s="121"/>
      <c r="BH11" s="70">
        <v>0.57638888888888895</v>
      </c>
      <c r="BI11" s="72">
        <f t="shared" si="30"/>
        <v>0</v>
      </c>
      <c r="BJ11" s="68">
        <f t="shared" si="31"/>
        <v>1393</v>
      </c>
      <c r="BK11" s="59">
        <f t="shared" si="32"/>
        <v>0.59251157407407418</v>
      </c>
      <c r="BL11" s="75">
        <v>0.60545138888888894</v>
      </c>
      <c r="BM11" s="73">
        <f t="shared" si="33"/>
        <v>1118</v>
      </c>
      <c r="BN11" s="74"/>
      <c r="BO11" s="379">
        <f>(IF(NOT(OR(ISBLANK(BH11),ISBLANK(BL11))),ABS(BM11)*ШтрафОпережениеОтставаниеНаРД+IF(ISBLANK(BN11),0,ШтрафФальстартНаДС),ШтрафПропускДС))-300</f>
        <v>818</v>
      </c>
      <c r="BP11" s="121"/>
      <c r="BQ11" s="271">
        <v>0</v>
      </c>
      <c r="BR11" s="303">
        <f t="shared" si="35"/>
        <v>0</v>
      </c>
      <c r="BS11" s="304">
        <v>0</v>
      </c>
      <c r="BT11" s="175">
        <v>68.180000000000007</v>
      </c>
      <c r="BU11" s="305">
        <f t="shared" si="36"/>
        <v>68.2</v>
      </c>
      <c r="BV11" s="74"/>
      <c r="BW11" s="74">
        <v>1</v>
      </c>
      <c r="BX11" s="74"/>
      <c r="BY11" s="74"/>
      <c r="BZ11" s="119">
        <f t="shared" si="37"/>
        <v>78.2</v>
      </c>
      <c r="CA11" s="65" t="s">
        <v>525</v>
      </c>
      <c r="CB11" s="66" t="s">
        <v>519</v>
      </c>
      <c r="CC11" s="209">
        <v>3</v>
      </c>
      <c r="CD11" s="124">
        <f t="shared" si="38"/>
        <v>360</v>
      </c>
      <c r="CE11" s="210"/>
      <c r="CF11" s="124">
        <f t="shared" si="39"/>
        <v>0</v>
      </c>
      <c r="CI11" s="67" t="s">
        <v>237</v>
      </c>
      <c r="CJ11" s="118">
        <f t="shared" si="40"/>
        <v>0</v>
      </c>
      <c r="CK11" s="76" t="e">
        <f t="shared" si="41"/>
        <v>#NAME?</v>
      </c>
      <c r="CL11" s="68" t="e">
        <f t="shared" si="42"/>
        <v>#NAME?</v>
      </c>
      <c r="CM11" s="69" t="e">
        <f t="shared" si="43"/>
        <v>#NAME?</v>
      </c>
      <c r="CN11" s="77">
        <v>0.4916666666666667</v>
      </c>
      <c r="CO11" s="74"/>
      <c r="CP11" s="68" t="e">
        <f t="shared" si="44"/>
        <v>#NAME?</v>
      </c>
      <c r="CQ11" s="118" t="e">
        <f t="shared" si="45"/>
        <v>#NAME?</v>
      </c>
      <c r="CS11" s="380">
        <f t="shared" si="46"/>
        <v>1.1238425925925943E-2</v>
      </c>
      <c r="CW11" s="12">
        <f t="shared" si="47"/>
        <v>480</v>
      </c>
    </row>
    <row r="12" spans="1:101" x14ac:dyDescent="0.25">
      <c r="A12" s="259">
        <f t="shared" si="48"/>
        <v>8</v>
      </c>
      <c r="B12" s="373">
        <v>16</v>
      </c>
      <c r="C12" s="311"/>
      <c r="D12" s="211" t="s">
        <v>252</v>
      </c>
      <c r="E12" s="212" t="s">
        <v>489</v>
      </c>
      <c r="F12" s="212" t="s">
        <v>491</v>
      </c>
      <c r="G12" s="212" t="s">
        <v>492</v>
      </c>
      <c r="H12" s="213" t="s">
        <v>28</v>
      </c>
      <c r="I12" s="213"/>
      <c r="J12" s="177">
        <f t="shared" si="0"/>
        <v>1422.1</v>
      </c>
      <c r="K12" s="123"/>
      <c r="L12" s="78"/>
      <c r="M12" s="67">
        <v>0.51111111111111118</v>
      </c>
      <c r="N12" s="118">
        <f t="shared" si="1"/>
        <v>0</v>
      </c>
      <c r="O12" s="76">
        <f t="shared" si="2"/>
        <v>60</v>
      </c>
      <c r="P12" s="122">
        <f t="shared" si="3"/>
        <v>0</v>
      </c>
      <c r="Q12" s="117">
        <f t="shared" si="4"/>
        <v>0.55277777777777781</v>
      </c>
      <c r="R12" s="176">
        <v>0.55208333333333337</v>
      </c>
      <c r="S12" s="68">
        <f t="shared" si="5"/>
        <v>-1</v>
      </c>
      <c r="T12" s="118">
        <f t="shared" si="6"/>
        <v>0</v>
      </c>
      <c r="U12" s="76">
        <f t="shared" si="7"/>
        <v>25</v>
      </c>
      <c r="V12" s="122">
        <v>0</v>
      </c>
      <c r="W12" s="117">
        <f t="shared" si="8"/>
        <v>0.57083333333333341</v>
      </c>
      <c r="X12" s="176">
        <v>0.57013888888888886</v>
      </c>
      <c r="Y12" s="68">
        <f t="shared" si="9"/>
        <v>-1</v>
      </c>
      <c r="Z12" s="118">
        <f t="shared" si="10"/>
        <v>0</v>
      </c>
      <c r="AA12" s="76">
        <f t="shared" si="11"/>
        <v>7</v>
      </c>
      <c r="AB12" s="122">
        <v>0</v>
      </c>
      <c r="AC12" s="117">
        <f t="shared" si="12"/>
        <v>0.57499999999999996</v>
      </c>
      <c r="AD12" s="176">
        <v>0.5756944444444444</v>
      </c>
      <c r="AE12" s="68">
        <f t="shared" si="13"/>
        <v>1</v>
      </c>
      <c r="AF12" s="118">
        <f t="shared" si="14"/>
        <v>60</v>
      </c>
      <c r="AG12" s="76">
        <f t="shared" si="15"/>
        <v>70</v>
      </c>
      <c r="AH12" s="122">
        <v>0</v>
      </c>
      <c r="AI12" s="117">
        <f t="shared" si="16"/>
        <v>0.62638888888888899</v>
      </c>
      <c r="AJ12" s="68">
        <f t="shared" si="17"/>
        <v>7</v>
      </c>
      <c r="AK12" s="176">
        <v>0.62847222222222221</v>
      </c>
      <c r="AL12" s="68">
        <f t="shared" si="18"/>
        <v>3</v>
      </c>
      <c r="AM12" s="118">
        <f t="shared" si="19"/>
        <v>180</v>
      </c>
      <c r="AN12" s="121"/>
      <c r="AO12" s="75">
        <v>0.53038194444444442</v>
      </c>
      <c r="AP12" s="72">
        <f t="shared" si="20"/>
        <v>0</v>
      </c>
      <c r="AQ12" s="68">
        <f t="shared" si="21"/>
        <v>443</v>
      </c>
      <c r="AR12" s="59">
        <f t="shared" si="22"/>
        <v>0.53550925925925918</v>
      </c>
      <c r="AS12" s="75">
        <v>0.53576388888888882</v>
      </c>
      <c r="AT12" s="73">
        <f t="shared" si="23"/>
        <v>22</v>
      </c>
      <c r="AU12" s="74"/>
      <c r="AV12" s="119">
        <f t="shared" si="24"/>
        <v>22</v>
      </c>
      <c r="AW12" s="121"/>
      <c r="AX12" s="70">
        <v>0.55347222222222225</v>
      </c>
      <c r="AY12" s="72">
        <f t="shared" si="25"/>
        <v>0</v>
      </c>
      <c r="AZ12" s="68">
        <f t="shared" si="26"/>
        <v>478</v>
      </c>
      <c r="BA12" s="71">
        <v>950</v>
      </c>
      <c r="BB12" s="59">
        <f t="shared" si="27"/>
        <v>0.5644675925925926</v>
      </c>
      <c r="BC12" s="75">
        <v>0.56481481481481477</v>
      </c>
      <c r="BD12" s="73">
        <f t="shared" si="28"/>
        <v>30</v>
      </c>
      <c r="BE12" s="74"/>
      <c r="BF12" s="119">
        <f t="shared" si="29"/>
        <v>30</v>
      </c>
      <c r="BG12" s="121"/>
      <c r="BH12" s="70">
        <v>0.57777777777777783</v>
      </c>
      <c r="BI12" s="72">
        <f t="shared" si="30"/>
        <v>0</v>
      </c>
      <c r="BJ12" s="68">
        <f t="shared" si="31"/>
        <v>1393</v>
      </c>
      <c r="BK12" s="59">
        <f t="shared" si="32"/>
        <v>0.59390046296296306</v>
      </c>
      <c r="BL12" s="75">
        <v>0.60046296296296298</v>
      </c>
      <c r="BM12" s="73">
        <f t="shared" si="33"/>
        <v>567</v>
      </c>
      <c r="BN12" s="75"/>
      <c r="BO12" s="119">
        <f t="shared" ref="BO12:BO25" si="49">IF(NOT(OR(ISBLANK(BH12),ISBLANK(BL12))),ABS(BM12)*ШтрафОпережениеОтставаниеНаРД+IF(ISBLANK(BN12),0,ШтрафФальстартНаДС),ШтрафПропускДС)</f>
        <v>567</v>
      </c>
      <c r="BP12" s="121"/>
      <c r="BQ12" s="271">
        <v>0</v>
      </c>
      <c r="BR12" s="303">
        <f t="shared" si="35"/>
        <v>0</v>
      </c>
      <c r="BS12" s="304">
        <v>0</v>
      </c>
      <c r="BT12" s="375">
        <v>63.05</v>
      </c>
      <c r="BU12" s="376">
        <f t="shared" si="36"/>
        <v>63.1</v>
      </c>
      <c r="BV12" s="377"/>
      <c r="BW12" s="377">
        <v>2</v>
      </c>
      <c r="BX12" s="74"/>
      <c r="BY12" s="74"/>
      <c r="BZ12" s="119">
        <f t="shared" si="37"/>
        <v>83.1</v>
      </c>
      <c r="CA12" s="65" t="s">
        <v>518</v>
      </c>
      <c r="CB12" s="66" t="s">
        <v>519</v>
      </c>
      <c r="CC12" s="209">
        <v>4</v>
      </c>
      <c r="CD12" s="124">
        <f t="shared" si="38"/>
        <v>480</v>
      </c>
      <c r="CE12" s="210"/>
      <c r="CF12" s="124">
        <f t="shared" si="39"/>
        <v>0</v>
      </c>
      <c r="CI12" s="67" t="s">
        <v>237</v>
      </c>
      <c r="CJ12" s="118">
        <f t="shared" si="40"/>
        <v>0</v>
      </c>
      <c r="CK12" s="76" t="e">
        <f t="shared" si="41"/>
        <v>#NAME?</v>
      </c>
      <c r="CL12" s="68" t="e">
        <f t="shared" si="42"/>
        <v>#NAME?</v>
      </c>
      <c r="CM12" s="69" t="e">
        <f t="shared" si="43"/>
        <v>#NAME?</v>
      </c>
      <c r="CN12" s="77">
        <v>0.4916666666666667</v>
      </c>
      <c r="CO12" s="74"/>
      <c r="CP12" s="68" t="e">
        <f t="shared" si="44"/>
        <v>#NAME?</v>
      </c>
      <c r="CQ12" s="118" t="e">
        <f t="shared" si="45"/>
        <v>#NAME?</v>
      </c>
      <c r="CS12" s="380">
        <f t="shared" si="46"/>
        <v>1.1342592592592515E-2</v>
      </c>
      <c r="CW12" s="12">
        <f t="shared" si="47"/>
        <v>540</v>
      </c>
    </row>
    <row r="13" spans="1:101" x14ac:dyDescent="0.25">
      <c r="A13" s="259">
        <f t="shared" si="48"/>
        <v>9</v>
      </c>
      <c r="B13" s="373">
        <v>12</v>
      </c>
      <c r="C13" s="311"/>
      <c r="D13" s="211" t="s">
        <v>456</v>
      </c>
      <c r="E13" s="212" t="s">
        <v>457</v>
      </c>
      <c r="F13" s="212" t="s">
        <v>458</v>
      </c>
      <c r="G13" s="212" t="s">
        <v>459</v>
      </c>
      <c r="H13" s="213" t="s">
        <v>28</v>
      </c>
      <c r="I13" s="213"/>
      <c r="J13" s="177">
        <f t="shared" si="0"/>
        <v>1654.1</v>
      </c>
      <c r="K13" s="123"/>
      <c r="L13" s="78"/>
      <c r="M13" s="67">
        <v>0.5083333333333333</v>
      </c>
      <c r="N13" s="118">
        <f t="shared" si="1"/>
        <v>0</v>
      </c>
      <c r="O13" s="76">
        <f t="shared" si="2"/>
        <v>60</v>
      </c>
      <c r="P13" s="122">
        <f t="shared" si="3"/>
        <v>0</v>
      </c>
      <c r="Q13" s="117">
        <f t="shared" si="4"/>
        <v>0.54999999999999993</v>
      </c>
      <c r="R13" s="176">
        <v>0.5493055555555556</v>
      </c>
      <c r="S13" s="68">
        <f t="shared" si="5"/>
        <v>-1</v>
      </c>
      <c r="T13" s="118">
        <f t="shared" si="6"/>
        <v>0</v>
      </c>
      <c r="U13" s="76">
        <f t="shared" si="7"/>
        <v>25</v>
      </c>
      <c r="V13" s="122">
        <v>0</v>
      </c>
      <c r="W13" s="117">
        <f t="shared" si="8"/>
        <v>0.56805555555555565</v>
      </c>
      <c r="X13" s="176">
        <v>0.56736111111111109</v>
      </c>
      <c r="Y13" s="68">
        <f t="shared" si="9"/>
        <v>-1</v>
      </c>
      <c r="Z13" s="118">
        <f t="shared" si="10"/>
        <v>0</v>
      </c>
      <c r="AA13" s="76">
        <f t="shared" si="11"/>
        <v>7</v>
      </c>
      <c r="AB13" s="122">
        <v>0</v>
      </c>
      <c r="AC13" s="117">
        <f t="shared" si="12"/>
        <v>0.57222222222222219</v>
      </c>
      <c r="AD13" s="176">
        <v>0.57916666666666672</v>
      </c>
      <c r="AE13" s="68">
        <f t="shared" si="13"/>
        <v>10</v>
      </c>
      <c r="AF13" s="118">
        <f t="shared" si="14"/>
        <v>600</v>
      </c>
      <c r="AG13" s="76">
        <f t="shared" si="15"/>
        <v>70</v>
      </c>
      <c r="AH13" s="122">
        <v>0</v>
      </c>
      <c r="AI13" s="117">
        <f t="shared" si="16"/>
        <v>0.62847222222222221</v>
      </c>
      <c r="AJ13" s="68">
        <f t="shared" si="17"/>
        <v>7</v>
      </c>
      <c r="AK13" s="176">
        <v>0.62916666666666665</v>
      </c>
      <c r="AL13" s="68">
        <f t="shared" si="18"/>
        <v>1</v>
      </c>
      <c r="AM13" s="118">
        <f t="shared" si="19"/>
        <v>60</v>
      </c>
      <c r="AN13" s="121"/>
      <c r="AO13" s="75">
        <v>0.52719907407407407</v>
      </c>
      <c r="AP13" s="72">
        <f t="shared" si="20"/>
        <v>0</v>
      </c>
      <c r="AQ13" s="68">
        <f t="shared" si="21"/>
        <v>443</v>
      </c>
      <c r="AR13" s="59">
        <f t="shared" si="22"/>
        <v>0.53232638888888884</v>
      </c>
      <c r="AS13" s="75">
        <v>0.5323148148148148</v>
      </c>
      <c r="AT13" s="73">
        <f t="shared" si="23"/>
        <v>-1</v>
      </c>
      <c r="AU13" s="74"/>
      <c r="AV13" s="119">
        <f t="shared" si="24"/>
        <v>1</v>
      </c>
      <c r="AW13" s="121"/>
      <c r="AX13" s="70">
        <v>0.55069444444444449</v>
      </c>
      <c r="AY13" s="72">
        <f t="shared" si="25"/>
        <v>0</v>
      </c>
      <c r="AZ13" s="68">
        <f t="shared" si="26"/>
        <v>478</v>
      </c>
      <c r="BA13" s="71">
        <v>950</v>
      </c>
      <c r="BB13" s="59">
        <f t="shared" si="27"/>
        <v>0.56168981481481484</v>
      </c>
      <c r="BC13" s="75">
        <v>0.56145833333333328</v>
      </c>
      <c r="BD13" s="73">
        <f t="shared" si="28"/>
        <v>-20</v>
      </c>
      <c r="BE13" s="74"/>
      <c r="BF13" s="119">
        <f t="shared" si="29"/>
        <v>0</v>
      </c>
      <c r="BG13" s="121"/>
      <c r="BH13" s="70">
        <v>0.57986111111111105</v>
      </c>
      <c r="BI13" s="72">
        <f t="shared" si="30"/>
        <v>0</v>
      </c>
      <c r="BJ13" s="68">
        <f t="shared" si="31"/>
        <v>1393</v>
      </c>
      <c r="BK13" s="59">
        <f t="shared" si="32"/>
        <v>0.59598379629629628</v>
      </c>
      <c r="BL13" s="75">
        <v>0.60532407407407407</v>
      </c>
      <c r="BM13" s="73">
        <f t="shared" si="33"/>
        <v>807</v>
      </c>
      <c r="BN13" s="74"/>
      <c r="BO13" s="119">
        <f t="shared" si="49"/>
        <v>807</v>
      </c>
      <c r="BP13" s="121"/>
      <c r="BQ13" s="271">
        <v>0</v>
      </c>
      <c r="BR13" s="303">
        <f t="shared" si="35"/>
        <v>0</v>
      </c>
      <c r="BS13" s="304">
        <v>0</v>
      </c>
      <c r="BT13" s="175">
        <v>66.06</v>
      </c>
      <c r="BU13" s="305">
        <f t="shared" si="36"/>
        <v>66.099999999999994</v>
      </c>
      <c r="BV13" s="74"/>
      <c r="BW13" s="74"/>
      <c r="BX13" s="74"/>
      <c r="BY13" s="74"/>
      <c r="BZ13" s="119">
        <f t="shared" si="37"/>
        <v>66.099999999999994</v>
      </c>
      <c r="CA13" s="65" t="s">
        <v>524</v>
      </c>
      <c r="CB13" s="66" t="s">
        <v>519</v>
      </c>
      <c r="CC13" s="209">
        <v>1</v>
      </c>
      <c r="CD13" s="124">
        <f t="shared" si="38"/>
        <v>120</v>
      </c>
      <c r="CE13" s="210"/>
      <c r="CF13" s="124">
        <f t="shared" si="39"/>
        <v>0</v>
      </c>
      <c r="CI13" s="67" t="s">
        <v>237</v>
      </c>
      <c r="CJ13" s="118">
        <f t="shared" si="40"/>
        <v>0</v>
      </c>
      <c r="CK13" s="76" t="e">
        <f t="shared" si="41"/>
        <v>#NAME?</v>
      </c>
      <c r="CL13" s="68" t="e">
        <f t="shared" si="42"/>
        <v>#NAME?</v>
      </c>
      <c r="CM13" s="69" t="e">
        <f t="shared" si="43"/>
        <v>#NAME?</v>
      </c>
      <c r="CN13" s="77">
        <v>0.4916666666666667</v>
      </c>
      <c r="CO13" s="74"/>
      <c r="CP13" s="68" t="e">
        <f t="shared" si="44"/>
        <v>#NAME?</v>
      </c>
      <c r="CQ13" s="118" t="e">
        <f t="shared" si="45"/>
        <v>#NAME?</v>
      </c>
      <c r="CS13" s="380">
        <f t="shared" si="46"/>
        <v>1.0763888888888795E-2</v>
      </c>
      <c r="CW13" s="12">
        <f t="shared" si="47"/>
        <v>720</v>
      </c>
    </row>
    <row r="14" spans="1:101" x14ac:dyDescent="0.25">
      <c r="A14" s="259">
        <f t="shared" si="48"/>
        <v>10</v>
      </c>
      <c r="B14" s="373">
        <v>7</v>
      </c>
      <c r="C14" s="311"/>
      <c r="D14" s="211" t="s">
        <v>108</v>
      </c>
      <c r="E14" s="212" t="s">
        <v>245</v>
      </c>
      <c r="F14" s="212" t="s">
        <v>109</v>
      </c>
      <c r="G14" s="212" t="s">
        <v>74</v>
      </c>
      <c r="H14" s="213" t="s">
        <v>28</v>
      </c>
      <c r="I14" s="213"/>
      <c r="J14" s="177">
        <f t="shared" si="0"/>
        <v>2593</v>
      </c>
      <c r="K14" s="123"/>
      <c r="L14" s="78"/>
      <c r="M14" s="67">
        <v>0.50486111111111109</v>
      </c>
      <c r="N14" s="118">
        <f t="shared" si="1"/>
        <v>0</v>
      </c>
      <c r="O14" s="76">
        <f t="shared" si="2"/>
        <v>60</v>
      </c>
      <c r="P14" s="122">
        <f t="shared" si="3"/>
        <v>0</v>
      </c>
      <c r="Q14" s="117">
        <f t="shared" si="4"/>
        <v>0.54652777777777772</v>
      </c>
      <c r="R14" s="176">
        <v>0.54583333333333328</v>
      </c>
      <c r="S14" s="68">
        <f t="shared" si="5"/>
        <v>-1</v>
      </c>
      <c r="T14" s="118">
        <f t="shared" si="6"/>
        <v>0</v>
      </c>
      <c r="U14" s="76">
        <f t="shared" si="7"/>
        <v>25</v>
      </c>
      <c r="V14" s="122">
        <v>0</v>
      </c>
      <c r="W14" s="117">
        <f t="shared" si="8"/>
        <v>0.56388888888888899</v>
      </c>
      <c r="X14" s="176">
        <v>0.56388888888888888</v>
      </c>
      <c r="Y14" s="68">
        <f t="shared" si="9"/>
        <v>0</v>
      </c>
      <c r="Z14" s="118">
        <f t="shared" si="10"/>
        <v>0</v>
      </c>
      <c r="AA14" s="76">
        <f t="shared" si="11"/>
        <v>7</v>
      </c>
      <c r="AB14" s="122">
        <v>0</v>
      </c>
      <c r="AC14" s="117">
        <f t="shared" si="12"/>
        <v>0.56874999999999998</v>
      </c>
      <c r="AD14" s="176">
        <v>0.56944444444444442</v>
      </c>
      <c r="AE14" s="68">
        <f t="shared" si="13"/>
        <v>1</v>
      </c>
      <c r="AF14" s="118">
        <f t="shared" si="14"/>
        <v>60</v>
      </c>
      <c r="AG14" s="76">
        <f t="shared" si="15"/>
        <v>70</v>
      </c>
      <c r="AH14" s="122">
        <v>0</v>
      </c>
      <c r="AI14" s="117">
        <f t="shared" si="16"/>
        <v>0.61875000000000002</v>
      </c>
      <c r="AJ14" s="68">
        <f t="shared" si="17"/>
        <v>7</v>
      </c>
      <c r="AK14" s="176">
        <v>0.62361111111111112</v>
      </c>
      <c r="AL14" s="68">
        <f t="shared" si="18"/>
        <v>7</v>
      </c>
      <c r="AM14" s="118">
        <f t="shared" si="19"/>
        <v>420</v>
      </c>
      <c r="AN14" s="121"/>
      <c r="AO14" s="75">
        <v>0.5244212962962963</v>
      </c>
      <c r="AP14" s="72">
        <f t="shared" si="20"/>
        <v>0</v>
      </c>
      <c r="AQ14" s="68">
        <f t="shared" si="21"/>
        <v>443</v>
      </c>
      <c r="AR14" s="59">
        <f t="shared" si="22"/>
        <v>0.52954861111111107</v>
      </c>
      <c r="AS14" s="75">
        <v>0.52949074074074076</v>
      </c>
      <c r="AT14" s="73">
        <f t="shared" si="23"/>
        <v>-5</v>
      </c>
      <c r="AU14" s="74"/>
      <c r="AV14" s="119">
        <f t="shared" si="24"/>
        <v>5</v>
      </c>
      <c r="AW14" s="121"/>
      <c r="AX14" s="70">
        <v>0.54652777777777783</v>
      </c>
      <c r="AY14" s="72">
        <f t="shared" si="25"/>
        <v>0</v>
      </c>
      <c r="AZ14" s="68">
        <f t="shared" si="26"/>
        <v>478</v>
      </c>
      <c r="BA14" s="71">
        <v>950</v>
      </c>
      <c r="BB14" s="59">
        <f t="shared" si="27"/>
        <v>0.55752314814814818</v>
      </c>
      <c r="BC14" s="75">
        <v>0.55774305555555559</v>
      </c>
      <c r="BD14" s="73">
        <f t="shared" si="28"/>
        <v>19</v>
      </c>
      <c r="BE14" s="74"/>
      <c r="BF14" s="119">
        <f t="shared" si="29"/>
        <v>19</v>
      </c>
      <c r="BG14" s="121"/>
      <c r="BH14" s="70">
        <v>0.57013888888888886</v>
      </c>
      <c r="BI14" s="72">
        <f t="shared" si="30"/>
        <v>0</v>
      </c>
      <c r="BJ14" s="68">
        <f t="shared" si="31"/>
        <v>1393</v>
      </c>
      <c r="BK14" s="59">
        <f t="shared" si="32"/>
        <v>0.58626157407407409</v>
      </c>
      <c r="BL14" s="75">
        <v>0.6039930555555556</v>
      </c>
      <c r="BM14" s="73">
        <f t="shared" si="33"/>
        <v>1532</v>
      </c>
      <c r="BN14" s="74"/>
      <c r="BO14" s="119">
        <f t="shared" si="49"/>
        <v>1532</v>
      </c>
      <c r="BP14" s="121"/>
      <c r="BQ14" s="271">
        <v>0</v>
      </c>
      <c r="BR14" s="303">
        <f t="shared" si="35"/>
        <v>0</v>
      </c>
      <c r="BS14" s="304">
        <v>0</v>
      </c>
      <c r="BT14" s="175">
        <v>76.98</v>
      </c>
      <c r="BU14" s="305">
        <f t="shared" si="36"/>
        <v>77</v>
      </c>
      <c r="BV14" s="74"/>
      <c r="BW14" s="74"/>
      <c r="BX14" s="74"/>
      <c r="BY14" s="74"/>
      <c r="BZ14" s="119">
        <f t="shared" si="37"/>
        <v>77</v>
      </c>
      <c r="CA14" s="65" t="s">
        <v>518</v>
      </c>
      <c r="CB14" s="66" t="s">
        <v>519</v>
      </c>
      <c r="CC14" s="209">
        <v>4</v>
      </c>
      <c r="CD14" s="124">
        <f t="shared" si="38"/>
        <v>480</v>
      </c>
      <c r="CE14" s="210"/>
      <c r="CF14" s="124">
        <f t="shared" si="39"/>
        <v>0</v>
      </c>
      <c r="CI14" s="67" t="s">
        <v>237</v>
      </c>
      <c r="CJ14" s="118">
        <f t="shared" si="40"/>
        <v>0</v>
      </c>
      <c r="CK14" s="76" t="e">
        <f t="shared" si="41"/>
        <v>#NAME?</v>
      </c>
      <c r="CL14" s="68" t="e">
        <f t="shared" si="42"/>
        <v>#NAME?</v>
      </c>
      <c r="CM14" s="69" t="e">
        <f t="shared" si="43"/>
        <v>#NAME?</v>
      </c>
      <c r="CN14" s="77">
        <v>0.4916666666666667</v>
      </c>
      <c r="CO14" s="74"/>
      <c r="CP14" s="68" t="e">
        <f t="shared" si="44"/>
        <v>#NAME?</v>
      </c>
      <c r="CQ14" s="118" t="e">
        <f t="shared" si="45"/>
        <v>#NAME?</v>
      </c>
      <c r="CS14" s="380">
        <f t="shared" si="46"/>
        <v>1.1215277777777755E-2</v>
      </c>
      <c r="CW14" s="12">
        <f t="shared" si="47"/>
        <v>540</v>
      </c>
    </row>
    <row r="15" spans="1:101" x14ac:dyDescent="0.25">
      <c r="A15" s="259">
        <f t="shared" si="48"/>
        <v>11</v>
      </c>
      <c r="B15" s="373">
        <v>5</v>
      </c>
      <c r="C15" s="311"/>
      <c r="D15" s="211" t="s">
        <v>473</v>
      </c>
      <c r="E15" s="212" t="s">
        <v>256</v>
      </c>
      <c r="F15" s="212" t="s">
        <v>471</v>
      </c>
      <c r="G15" s="212" t="s">
        <v>472</v>
      </c>
      <c r="H15" s="213" t="s">
        <v>28</v>
      </c>
      <c r="I15" s="213"/>
      <c r="J15" s="177">
        <f t="shared" si="0"/>
        <v>3737.5</v>
      </c>
      <c r="K15" s="123"/>
      <c r="L15" s="78"/>
      <c r="M15" s="67">
        <v>0.50347222222222221</v>
      </c>
      <c r="N15" s="118">
        <f t="shared" si="1"/>
        <v>0</v>
      </c>
      <c r="O15" s="76">
        <f t="shared" si="2"/>
        <v>60</v>
      </c>
      <c r="P15" s="122">
        <f t="shared" si="3"/>
        <v>0</v>
      </c>
      <c r="Q15" s="117">
        <f t="shared" si="4"/>
        <v>0.54513888888888884</v>
      </c>
      <c r="R15" s="176">
        <v>0.5708333333333333</v>
      </c>
      <c r="S15" s="68">
        <f t="shared" si="5"/>
        <v>37</v>
      </c>
      <c r="T15" s="118">
        <f t="shared" si="6"/>
        <v>2220</v>
      </c>
      <c r="U15" s="76">
        <f t="shared" si="7"/>
        <v>25</v>
      </c>
      <c r="V15" s="122">
        <v>0</v>
      </c>
      <c r="W15" s="117">
        <f t="shared" si="8"/>
        <v>0.58958333333333335</v>
      </c>
      <c r="X15" s="176">
        <v>0.58958333333333335</v>
      </c>
      <c r="Y15" s="68">
        <f t="shared" si="9"/>
        <v>0</v>
      </c>
      <c r="Z15" s="118">
        <f t="shared" si="10"/>
        <v>0</v>
      </c>
      <c r="AA15" s="76">
        <f t="shared" si="11"/>
        <v>7</v>
      </c>
      <c r="AB15" s="122">
        <v>0</v>
      </c>
      <c r="AC15" s="117">
        <f t="shared" si="12"/>
        <v>0.59444444444444444</v>
      </c>
      <c r="AD15" s="176">
        <v>0.60138888888888886</v>
      </c>
      <c r="AE15" s="68">
        <f t="shared" si="13"/>
        <v>10</v>
      </c>
      <c r="AF15" s="118">
        <f t="shared" si="14"/>
        <v>600</v>
      </c>
      <c r="AG15" s="76">
        <f t="shared" si="15"/>
        <v>70</v>
      </c>
      <c r="AH15" s="122">
        <v>0</v>
      </c>
      <c r="AI15" s="117">
        <f t="shared" si="16"/>
        <v>0.65138888888888891</v>
      </c>
      <c r="AJ15" s="68">
        <f t="shared" si="17"/>
        <v>7</v>
      </c>
      <c r="AK15" s="176">
        <v>0.65</v>
      </c>
      <c r="AL15" s="68">
        <f t="shared" si="18"/>
        <v>-2</v>
      </c>
      <c r="AM15" s="118">
        <f t="shared" si="19"/>
        <v>0</v>
      </c>
      <c r="AN15" s="121"/>
      <c r="AO15" s="75">
        <v>0.55944444444444441</v>
      </c>
      <c r="AP15" s="72">
        <f t="shared" si="20"/>
        <v>0</v>
      </c>
      <c r="AQ15" s="68">
        <f t="shared" si="21"/>
        <v>443</v>
      </c>
      <c r="AR15" s="59">
        <f t="shared" si="22"/>
        <v>0.56457175925925918</v>
      </c>
      <c r="AS15" s="75">
        <v>0.56469907407407405</v>
      </c>
      <c r="AT15" s="73">
        <f t="shared" si="23"/>
        <v>11</v>
      </c>
      <c r="AU15" s="74"/>
      <c r="AV15" s="119">
        <f t="shared" si="24"/>
        <v>11</v>
      </c>
      <c r="AW15" s="121"/>
      <c r="AX15" s="70">
        <v>0.57222222222222219</v>
      </c>
      <c r="AY15" s="72">
        <f t="shared" si="25"/>
        <v>0</v>
      </c>
      <c r="AZ15" s="68">
        <f t="shared" si="26"/>
        <v>478</v>
      </c>
      <c r="BA15" s="71">
        <v>950</v>
      </c>
      <c r="BB15" s="59">
        <f t="shared" si="27"/>
        <v>0.58321759259259254</v>
      </c>
      <c r="BC15" s="75">
        <v>0.58634259259259258</v>
      </c>
      <c r="BD15" s="73">
        <f t="shared" si="28"/>
        <v>270</v>
      </c>
      <c r="BE15" s="74"/>
      <c r="BF15" s="119">
        <f t="shared" si="29"/>
        <v>270</v>
      </c>
      <c r="BG15" s="121"/>
      <c r="BH15" s="70">
        <v>0.60277777777777775</v>
      </c>
      <c r="BI15" s="72">
        <f t="shared" si="30"/>
        <v>0</v>
      </c>
      <c r="BJ15" s="68">
        <f t="shared" si="31"/>
        <v>1393</v>
      </c>
      <c r="BK15" s="59">
        <f t="shared" si="32"/>
        <v>0.61890046296296297</v>
      </c>
      <c r="BL15" s="371">
        <v>0.62395833333333328</v>
      </c>
      <c r="BM15" s="73">
        <f t="shared" si="33"/>
        <v>437</v>
      </c>
      <c r="BN15" s="74"/>
      <c r="BO15" s="119">
        <f t="shared" si="49"/>
        <v>437</v>
      </c>
      <c r="BP15" s="121"/>
      <c r="BQ15" s="271">
        <v>0</v>
      </c>
      <c r="BR15" s="303">
        <f t="shared" si="35"/>
        <v>0</v>
      </c>
      <c r="BS15" s="304">
        <v>0</v>
      </c>
      <c r="BT15" s="175">
        <v>59.47</v>
      </c>
      <c r="BU15" s="305">
        <f t="shared" si="36"/>
        <v>59.5</v>
      </c>
      <c r="BV15" s="74"/>
      <c r="BW15" s="74">
        <v>2</v>
      </c>
      <c r="BX15" s="74"/>
      <c r="BY15" s="74"/>
      <c r="BZ15" s="119">
        <f t="shared" si="37"/>
        <v>79.5</v>
      </c>
      <c r="CA15" s="65" t="s">
        <v>527</v>
      </c>
      <c r="CB15" s="66" t="s">
        <v>519</v>
      </c>
      <c r="CC15" s="209">
        <v>1</v>
      </c>
      <c r="CD15" s="124">
        <f t="shared" si="38"/>
        <v>120</v>
      </c>
      <c r="CE15" s="210"/>
      <c r="CF15" s="124">
        <f t="shared" si="39"/>
        <v>0</v>
      </c>
      <c r="CI15" s="67" t="s">
        <v>237</v>
      </c>
      <c r="CJ15" s="118">
        <f t="shared" si="40"/>
        <v>0</v>
      </c>
      <c r="CK15" s="76" t="e">
        <f t="shared" si="41"/>
        <v>#NAME?</v>
      </c>
      <c r="CL15" s="68" t="e">
        <f t="shared" si="42"/>
        <v>#NAME?</v>
      </c>
      <c r="CM15" s="69" t="e">
        <f t="shared" si="43"/>
        <v>#NAME?</v>
      </c>
      <c r="CN15" s="77">
        <v>0.4916666666666667</v>
      </c>
      <c r="CO15" s="74"/>
      <c r="CP15" s="68" t="e">
        <f t="shared" si="44"/>
        <v>#NAME?</v>
      </c>
      <c r="CQ15" s="118" t="e">
        <f t="shared" si="45"/>
        <v>#NAME?</v>
      </c>
      <c r="CS15" s="380">
        <f t="shared" si="46"/>
        <v>1.4120370370370394E-2</v>
      </c>
      <c r="CW15" s="12">
        <f t="shared" si="47"/>
        <v>720</v>
      </c>
    </row>
    <row r="16" spans="1:101" x14ac:dyDescent="0.25">
      <c r="A16" s="259">
        <f t="shared" si="48"/>
        <v>12</v>
      </c>
      <c r="B16" s="373">
        <v>4</v>
      </c>
      <c r="C16" s="311"/>
      <c r="D16" s="211" t="s">
        <v>461</v>
      </c>
      <c r="E16" s="212" t="s">
        <v>462</v>
      </c>
      <c r="F16" s="212" t="s">
        <v>463</v>
      </c>
      <c r="G16" s="212" t="s">
        <v>464</v>
      </c>
      <c r="H16" s="213" t="s">
        <v>28</v>
      </c>
      <c r="I16" s="213"/>
      <c r="J16" s="177">
        <f t="shared" si="0"/>
        <v>3830.1</v>
      </c>
      <c r="K16" s="123"/>
      <c r="L16" s="78"/>
      <c r="M16" s="67">
        <v>0.50277777777777777</v>
      </c>
      <c r="N16" s="118">
        <f t="shared" si="1"/>
        <v>0</v>
      </c>
      <c r="O16" s="76">
        <f t="shared" si="2"/>
        <v>60</v>
      </c>
      <c r="P16" s="122">
        <f t="shared" si="3"/>
        <v>0</v>
      </c>
      <c r="Q16" s="117">
        <f t="shared" si="4"/>
        <v>0.5444444444444444</v>
      </c>
      <c r="R16" s="176">
        <v>0.54236111111111118</v>
      </c>
      <c r="S16" s="68">
        <f t="shared" si="5"/>
        <v>-3</v>
      </c>
      <c r="T16" s="118">
        <f t="shared" si="6"/>
        <v>360</v>
      </c>
      <c r="U16" s="76">
        <f t="shared" si="7"/>
        <v>25</v>
      </c>
      <c r="V16" s="122">
        <v>0</v>
      </c>
      <c r="W16" s="117">
        <f t="shared" si="8"/>
        <v>0.56111111111111123</v>
      </c>
      <c r="X16" s="176">
        <v>0.55486111111111114</v>
      </c>
      <c r="Y16" s="68">
        <f t="shared" si="9"/>
        <v>-9</v>
      </c>
      <c r="Z16" s="118">
        <f t="shared" si="10"/>
        <v>1080</v>
      </c>
      <c r="AA16" s="76">
        <f t="shared" si="11"/>
        <v>7</v>
      </c>
      <c r="AB16" s="122">
        <v>0</v>
      </c>
      <c r="AC16" s="117">
        <f t="shared" si="12"/>
        <v>0.55972222222222223</v>
      </c>
      <c r="AD16" s="176">
        <v>0.5805555555555556</v>
      </c>
      <c r="AE16" s="68">
        <f t="shared" si="13"/>
        <v>30</v>
      </c>
      <c r="AF16" s="118">
        <f t="shared" si="14"/>
        <v>1800</v>
      </c>
      <c r="AG16" s="76">
        <f t="shared" si="15"/>
        <v>70</v>
      </c>
      <c r="AH16" s="122">
        <v>0</v>
      </c>
      <c r="AI16" s="117">
        <f t="shared" si="16"/>
        <v>0.63055555555555565</v>
      </c>
      <c r="AJ16" s="68">
        <f t="shared" si="17"/>
        <v>7</v>
      </c>
      <c r="AK16" s="176">
        <v>0.62777777777777777</v>
      </c>
      <c r="AL16" s="68">
        <f t="shared" si="18"/>
        <v>-4</v>
      </c>
      <c r="AM16" s="118">
        <f t="shared" si="19"/>
        <v>0</v>
      </c>
      <c r="AN16" s="121"/>
      <c r="AO16" s="75">
        <v>0.52650462962962963</v>
      </c>
      <c r="AP16" s="72">
        <f t="shared" si="20"/>
        <v>0</v>
      </c>
      <c r="AQ16" s="68">
        <f t="shared" si="21"/>
        <v>443</v>
      </c>
      <c r="AR16" s="59">
        <f t="shared" si="22"/>
        <v>0.53163194444444439</v>
      </c>
      <c r="AS16" s="75">
        <v>0.5320138888888889</v>
      </c>
      <c r="AT16" s="73">
        <f t="shared" si="23"/>
        <v>33</v>
      </c>
      <c r="AU16" s="74"/>
      <c r="AV16" s="119">
        <f t="shared" si="24"/>
        <v>33</v>
      </c>
      <c r="AW16" s="121"/>
      <c r="AX16" s="70">
        <v>0.54375000000000007</v>
      </c>
      <c r="AY16" s="72">
        <f t="shared" si="25"/>
        <v>0</v>
      </c>
      <c r="AZ16" s="68">
        <f t="shared" si="26"/>
        <v>478</v>
      </c>
      <c r="BA16" s="71">
        <v>950</v>
      </c>
      <c r="BB16" s="59">
        <f t="shared" si="27"/>
        <v>0.55474537037037042</v>
      </c>
      <c r="BC16" s="75">
        <v>0.55287037037037035</v>
      </c>
      <c r="BD16" s="73">
        <f t="shared" si="28"/>
        <v>-162</v>
      </c>
      <c r="BE16" s="74"/>
      <c r="BF16" s="119">
        <f t="shared" si="29"/>
        <v>0</v>
      </c>
      <c r="BG16" s="121"/>
      <c r="BH16" s="70">
        <v>0.58194444444444449</v>
      </c>
      <c r="BI16" s="72">
        <f t="shared" si="30"/>
        <v>0</v>
      </c>
      <c r="BJ16" s="68">
        <f t="shared" si="31"/>
        <v>1393</v>
      </c>
      <c r="BK16" s="59">
        <f t="shared" si="32"/>
        <v>0.59806712962962971</v>
      </c>
      <c r="BL16" s="75">
        <v>0.60086805555555556</v>
      </c>
      <c r="BM16" s="73">
        <f t="shared" si="33"/>
        <v>242</v>
      </c>
      <c r="BN16" s="74"/>
      <c r="BO16" s="119">
        <f t="shared" si="49"/>
        <v>242</v>
      </c>
      <c r="BP16" s="121"/>
      <c r="BQ16" s="271">
        <v>0</v>
      </c>
      <c r="BR16" s="303">
        <f t="shared" si="35"/>
        <v>0</v>
      </c>
      <c r="BS16" s="304">
        <v>0</v>
      </c>
      <c r="BT16" s="175">
        <v>75.08</v>
      </c>
      <c r="BU16" s="305">
        <f t="shared" si="36"/>
        <v>75.099999999999994</v>
      </c>
      <c r="BV16" s="74"/>
      <c r="BW16" s="74"/>
      <c r="BX16" s="74"/>
      <c r="BY16" s="74"/>
      <c r="BZ16" s="119">
        <f t="shared" si="37"/>
        <v>75.099999999999994</v>
      </c>
      <c r="CA16" s="65" t="s">
        <v>528</v>
      </c>
      <c r="CB16" s="66" t="s">
        <v>519</v>
      </c>
      <c r="CC16" s="209">
        <v>2</v>
      </c>
      <c r="CD16" s="124">
        <f t="shared" si="38"/>
        <v>240</v>
      </c>
      <c r="CE16" s="210"/>
      <c r="CF16" s="124">
        <f t="shared" si="39"/>
        <v>0</v>
      </c>
      <c r="CI16" s="67" t="s">
        <v>237</v>
      </c>
      <c r="CJ16" s="118">
        <f t="shared" si="40"/>
        <v>0</v>
      </c>
      <c r="CK16" s="76" t="e">
        <f t="shared" si="41"/>
        <v>#NAME?</v>
      </c>
      <c r="CL16" s="68" t="e">
        <f t="shared" si="42"/>
        <v>#NAME?</v>
      </c>
      <c r="CM16" s="69" t="e">
        <f t="shared" si="43"/>
        <v>#NAME?</v>
      </c>
      <c r="CN16" s="77">
        <v>0.4916666666666667</v>
      </c>
      <c r="CO16" s="74"/>
      <c r="CP16" s="68" t="e">
        <f t="shared" si="44"/>
        <v>#NAME?</v>
      </c>
      <c r="CQ16" s="118" t="e">
        <f t="shared" si="45"/>
        <v>#NAME?</v>
      </c>
      <c r="CS16" s="380">
        <f t="shared" si="46"/>
        <v>9.1203703703702788E-3</v>
      </c>
      <c r="CW16" s="12">
        <f t="shared" si="47"/>
        <v>2040</v>
      </c>
    </row>
    <row r="17" spans="1:101" x14ac:dyDescent="0.25">
      <c r="A17" s="259">
        <f t="shared" si="48"/>
        <v>13</v>
      </c>
      <c r="B17" s="373">
        <v>1</v>
      </c>
      <c r="C17" s="311"/>
      <c r="D17" s="211" t="s">
        <v>262</v>
      </c>
      <c r="E17" s="212" t="s">
        <v>263</v>
      </c>
      <c r="F17" s="212" t="s">
        <v>474</v>
      </c>
      <c r="G17" s="212" t="s">
        <v>475</v>
      </c>
      <c r="H17" s="213" t="s">
        <v>28</v>
      </c>
      <c r="I17" s="213"/>
      <c r="J17" s="177">
        <f t="shared" si="0"/>
        <v>5739.7</v>
      </c>
      <c r="K17" s="123"/>
      <c r="L17" s="78"/>
      <c r="M17" s="67">
        <v>0.50069444444444444</v>
      </c>
      <c r="N17" s="118">
        <f t="shared" si="1"/>
        <v>0</v>
      </c>
      <c r="O17" s="76">
        <f t="shared" si="2"/>
        <v>60</v>
      </c>
      <c r="P17" s="122">
        <f t="shared" si="3"/>
        <v>0</v>
      </c>
      <c r="Q17" s="117">
        <f t="shared" si="4"/>
        <v>0.54236111111111107</v>
      </c>
      <c r="R17" s="176">
        <v>0.54097222222222219</v>
      </c>
      <c r="S17" s="68">
        <f t="shared" si="5"/>
        <v>-2</v>
      </c>
      <c r="T17" s="118">
        <f t="shared" si="6"/>
        <v>240</v>
      </c>
      <c r="U17" s="76">
        <f t="shared" si="7"/>
        <v>25</v>
      </c>
      <c r="V17" s="122">
        <v>0</v>
      </c>
      <c r="W17" s="117">
        <f t="shared" si="8"/>
        <v>0.56041666666666667</v>
      </c>
      <c r="X17" s="176">
        <v>0.55625000000000002</v>
      </c>
      <c r="Y17" s="68">
        <f t="shared" si="9"/>
        <v>-6</v>
      </c>
      <c r="Z17" s="118">
        <f t="shared" si="10"/>
        <v>720</v>
      </c>
      <c r="AA17" s="76">
        <f t="shared" si="11"/>
        <v>7</v>
      </c>
      <c r="AB17" s="122">
        <v>0</v>
      </c>
      <c r="AC17" s="117">
        <f t="shared" si="12"/>
        <v>0.56111111111111112</v>
      </c>
      <c r="AD17" s="176"/>
      <c r="AE17" s="68" t="str">
        <f t="shared" si="13"/>
        <v/>
      </c>
      <c r="AF17" s="118">
        <f t="shared" si="14"/>
        <v>1800</v>
      </c>
      <c r="AG17" s="76">
        <f t="shared" si="15"/>
        <v>70</v>
      </c>
      <c r="AH17" s="122">
        <v>0</v>
      </c>
      <c r="AI17" s="117">
        <f t="shared" si="16"/>
        <v>0.60972222222222228</v>
      </c>
      <c r="AJ17" s="68">
        <f t="shared" si="17"/>
        <v>7</v>
      </c>
      <c r="AK17" s="176">
        <v>0.60416666666666663</v>
      </c>
      <c r="AL17" s="68">
        <f t="shared" si="18"/>
        <v>-8</v>
      </c>
      <c r="AM17" s="118">
        <f t="shared" si="19"/>
        <v>960</v>
      </c>
      <c r="AN17" s="121"/>
      <c r="AO17" s="75">
        <v>0.52093749999999994</v>
      </c>
      <c r="AP17" s="72">
        <f t="shared" si="20"/>
        <v>0</v>
      </c>
      <c r="AQ17" s="68">
        <f t="shared" si="21"/>
        <v>443</v>
      </c>
      <c r="AR17" s="59">
        <f t="shared" si="22"/>
        <v>0.52606481481481471</v>
      </c>
      <c r="AS17" s="75">
        <v>0.52569444444444446</v>
      </c>
      <c r="AT17" s="73">
        <f t="shared" si="23"/>
        <v>-32</v>
      </c>
      <c r="AU17" s="74"/>
      <c r="AV17" s="119">
        <f t="shared" si="24"/>
        <v>32</v>
      </c>
      <c r="AW17" s="121"/>
      <c r="AX17" s="70">
        <v>0.54305555555555551</v>
      </c>
      <c r="AY17" s="72">
        <f t="shared" si="25"/>
        <v>0</v>
      </c>
      <c r="AZ17" s="68">
        <f t="shared" si="26"/>
        <v>478</v>
      </c>
      <c r="BA17" s="71">
        <v>950</v>
      </c>
      <c r="BB17" s="59">
        <f t="shared" si="27"/>
        <v>0.55405092592592586</v>
      </c>
      <c r="BC17" s="75">
        <v>0.55385416666666665</v>
      </c>
      <c r="BD17" s="73">
        <f t="shared" si="28"/>
        <v>-17</v>
      </c>
      <c r="BE17" s="74"/>
      <c r="BF17" s="119">
        <f t="shared" si="29"/>
        <v>0</v>
      </c>
      <c r="BG17" s="121"/>
      <c r="BH17" s="70"/>
      <c r="BI17" s="72">
        <f t="shared" si="30"/>
        <v>0</v>
      </c>
      <c r="BJ17" s="68">
        <f t="shared" si="31"/>
        <v>1393</v>
      </c>
      <c r="BK17" s="59">
        <f t="shared" si="32"/>
        <v>1.6122685185185184E-2</v>
      </c>
      <c r="BL17" s="75"/>
      <c r="BM17" s="73">
        <f t="shared" si="33"/>
        <v>-1393</v>
      </c>
      <c r="BN17" s="74"/>
      <c r="BO17" s="119">
        <f t="shared" si="49"/>
        <v>1800</v>
      </c>
      <c r="BP17" s="121"/>
      <c r="BQ17" s="271">
        <v>0</v>
      </c>
      <c r="BR17" s="303">
        <f t="shared" si="35"/>
        <v>0</v>
      </c>
      <c r="BS17" s="304">
        <v>0</v>
      </c>
      <c r="BT17" s="175">
        <v>67.650000000000006</v>
      </c>
      <c r="BU17" s="305">
        <f t="shared" si="36"/>
        <v>67.7</v>
      </c>
      <c r="BV17" s="74"/>
      <c r="BW17" s="74"/>
      <c r="BX17" s="74"/>
      <c r="BY17" s="74"/>
      <c r="BZ17" s="119">
        <f t="shared" si="37"/>
        <v>67.7</v>
      </c>
      <c r="CA17" s="65" t="s">
        <v>521</v>
      </c>
      <c r="CB17" s="66" t="s">
        <v>519</v>
      </c>
      <c r="CC17" s="209">
        <v>1</v>
      </c>
      <c r="CD17" s="124">
        <f t="shared" si="38"/>
        <v>120</v>
      </c>
      <c r="CE17" s="210"/>
      <c r="CF17" s="124">
        <f t="shared" si="39"/>
        <v>0</v>
      </c>
      <c r="CI17" s="67" t="s">
        <v>237</v>
      </c>
      <c r="CJ17" s="118">
        <f t="shared" si="40"/>
        <v>0</v>
      </c>
      <c r="CK17" s="76" t="e">
        <f t="shared" si="41"/>
        <v>#NAME?</v>
      </c>
      <c r="CL17" s="68" t="e">
        <f t="shared" si="42"/>
        <v>#NAME?</v>
      </c>
      <c r="CM17" s="69" t="e">
        <f t="shared" si="43"/>
        <v>#NAME?</v>
      </c>
      <c r="CN17" s="77">
        <v>0.4916666666666667</v>
      </c>
      <c r="CO17" s="74"/>
      <c r="CP17" s="68" t="e">
        <f t="shared" si="44"/>
        <v>#NAME?</v>
      </c>
      <c r="CQ17" s="118" t="e">
        <f t="shared" si="45"/>
        <v>#NAME?</v>
      </c>
      <c r="CS17" s="380">
        <f t="shared" si="46"/>
        <v>1.0798611111111134E-2</v>
      </c>
      <c r="CW17" s="12">
        <f t="shared" si="47"/>
        <v>1920</v>
      </c>
    </row>
    <row r="18" spans="1:101" x14ac:dyDescent="0.25">
      <c r="A18" s="259">
        <f t="shared" si="48"/>
        <v>14</v>
      </c>
      <c r="B18" s="373">
        <v>3</v>
      </c>
      <c r="C18" s="311"/>
      <c r="D18" s="211" t="s">
        <v>448</v>
      </c>
      <c r="E18" s="212" t="s">
        <v>449</v>
      </c>
      <c r="F18" s="212" t="s">
        <v>450</v>
      </c>
      <c r="G18" s="212" t="s">
        <v>451</v>
      </c>
      <c r="H18" s="213" t="s">
        <v>28</v>
      </c>
      <c r="I18" s="213"/>
      <c r="J18" s="177">
        <f t="shared" si="0"/>
        <v>9869.2000000000007</v>
      </c>
      <c r="K18" s="123"/>
      <c r="L18" s="78"/>
      <c r="M18" s="67">
        <v>0.50208333333333333</v>
      </c>
      <c r="N18" s="118">
        <f t="shared" si="1"/>
        <v>0</v>
      </c>
      <c r="O18" s="76">
        <f t="shared" si="2"/>
        <v>60</v>
      </c>
      <c r="P18" s="122">
        <f t="shared" si="3"/>
        <v>0</v>
      </c>
      <c r="Q18" s="117">
        <f t="shared" si="4"/>
        <v>0.54374999999999996</v>
      </c>
      <c r="R18" s="176">
        <v>0.55833333333333335</v>
      </c>
      <c r="S18" s="68">
        <f t="shared" si="5"/>
        <v>21</v>
      </c>
      <c r="T18" s="118">
        <f t="shared" si="6"/>
        <v>1260</v>
      </c>
      <c r="U18" s="76">
        <f t="shared" si="7"/>
        <v>25</v>
      </c>
      <c r="V18" s="122">
        <v>0</v>
      </c>
      <c r="W18" s="117">
        <f t="shared" si="8"/>
        <v>0.57847222222222228</v>
      </c>
      <c r="X18" s="176"/>
      <c r="Y18" s="68" t="str">
        <f t="shared" si="9"/>
        <v/>
      </c>
      <c r="Z18" s="118">
        <f t="shared" si="10"/>
        <v>1800</v>
      </c>
      <c r="AA18" s="76">
        <f t="shared" si="11"/>
        <v>7</v>
      </c>
      <c r="AB18" s="122">
        <v>0</v>
      </c>
      <c r="AC18" s="117">
        <f t="shared" si="12"/>
        <v>0.58333333333333337</v>
      </c>
      <c r="AD18" s="176"/>
      <c r="AE18" s="68" t="str">
        <f t="shared" si="13"/>
        <v/>
      </c>
      <c r="AF18" s="118">
        <f t="shared" si="14"/>
        <v>1800</v>
      </c>
      <c r="AG18" s="76">
        <f t="shared" si="15"/>
        <v>70</v>
      </c>
      <c r="AH18" s="122">
        <v>0</v>
      </c>
      <c r="AI18" s="117">
        <f t="shared" si="16"/>
        <v>0.63194444444444453</v>
      </c>
      <c r="AJ18" s="68">
        <f t="shared" si="17"/>
        <v>7</v>
      </c>
      <c r="AK18" s="176">
        <v>0.64166666666666672</v>
      </c>
      <c r="AL18" s="68">
        <f t="shared" si="18"/>
        <v>14</v>
      </c>
      <c r="AM18" s="118">
        <f t="shared" si="19"/>
        <v>840</v>
      </c>
      <c r="AN18" s="121"/>
      <c r="AO18" s="75">
        <v>0.5242013888888889</v>
      </c>
      <c r="AP18" s="72">
        <f t="shared" si="20"/>
        <v>0</v>
      </c>
      <c r="AQ18" s="68">
        <f t="shared" si="21"/>
        <v>443</v>
      </c>
      <c r="AR18" s="59">
        <f t="shared" si="22"/>
        <v>0.52932870370370366</v>
      </c>
      <c r="AS18" s="75">
        <v>0.5294444444444445</v>
      </c>
      <c r="AT18" s="73">
        <f t="shared" si="23"/>
        <v>10</v>
      </c>
      <c r="AU18" s="74"/>
      <c r="AV18" s="119">
        <f t="shared" si="24"/>
        <v>10</v>
      </c>
      <c r="AW18" s="121"/>
      <c r="AX18" s="70">
        <v>0.56111111111111112</v>
      </c>
      <c r="AY18" s="72">
        <f t="shared" si="25"/>
        <v>0</v>
      </c>
      <c r="AZ18" s="68">
        <f t="shared" si="26"/>
        <v>478</v>
      </c>
      <c r="BA18" s="71">
        <v>950</v>
      </c>
      <c r="BB18" s="59">
        <f t="shared" si="27"/>
        <v>0.57210648148148147</v>
      </c>
      <c r="BC18" s="75"/>
      <c r="BD18" s="73">
        <f t="shared" si="28"/>
        <v>-49430</v>
      </c>
      <c r="BE18" s="74"/>
      <c r="BF18" s="119">
        <f t="shared" si="29"/>
        <v>1800</v>
      </c>
      <c r="BG18" s="121"/>
      <c r="BH18" s="70"/>
      <c r="BI18" s="72">
        <f t="shared" si="30"/>
        <v>0</v>
      </c>
      <c r="BJ18" s="68">
        <f t="shared" si="31"/>
        <v>1393</v>
      </c>
      <c r="BK18" s="59">
        <f t="shared" si="32"/>
        <v>1.6122685185185184E-2</v>
      </c>
      <c r="BL18" s="75"/>
      <c r="BM18" s="73">
        <f t="shared" si="33"/>
        <v>-1393</v>
      </c>
      <c r="BN18" s="74"/>
      <c r="BO18" s="119">
        <f t="shared" si="49"/>
        <v>1800</v>
      </c>
      <c r="BP18" s="121"/>
      <c r="BQ18" s="271">
        <v>0</v>
      </c>
      <c r="BR18" s="303">
        <f t="shared" si="35"/>
        <v>0</v>
      </c>
      <c r="BS18" s="304">
        <v>0</v>
      </c>
      <c r="BT18" s="375">
        <v>69.17</v>
      </c>
      <c r="BU18" s="305">
        <f t="shared" si="36"/>
        <v>69.2</v>
      </c>
      <c r="BV18" s="74"/>
      <c r="BW18" s="74">
        <v>1</v>
      </c>
      <c r="BX18" s="74"/>
      <c r="BY18" s="74"/>
      <c r="BZ18" s="119">
        <f t="shared" si="37"/>
        <v>79.2</v>
      </c>
      <c r="CA18" s="65" t="s">
        <v>518</v>
      </c>
      <c r="CB18" s="66" t="s">
        <v>519</v>
      </c>
      <c r="CC18" s="209">
        <v>4</v>
      </c>
      <c r="CD18" s="124">
        <f t="shared" si="38"/>
        <v>480</v>
      </c>
      <c r="CE18" s="210"/>
      <c r="CF18" s="124">
        <f t="shared" si="39"/>
        <v>0</v>
      </c>
      <c r="CI18" s="67" t="s">
        <v>237</v>
      </c>
      <c r="CJ18" s="118">
        <f t="shared" si="40"/>
        <v>0</v>
      </c>
      <c r="CK18" s="76" t="e">
        <f t="shared" si="41"/>
        <v>#NAME?</v>
      </c>
      <c r="CL18" s="68" t="e">
        <f t="shared" si="42"/>
        <v>#NAME?</v>
      </c>
      <c r="CM18" s="69" t="e">
        <f t="shared" si="43"/>
        <v>#NAME?</v>
      </c>
      <c r="CN18" s="77">
        <v>0.4916666666666667</v>
      </c>
      <c r="CO18" s="74"/>
      <c r="CP18" s="68" t="e">
        <f t="shared" si="44"/>
        <v>#NAME?</v>
      </c>
      <c r="CQ18" s="118" t="e">
        <f t="shared" si="45"/>
        <v>#NAME?</v>
      </c>
      <c r="CS18" s="380">
        <f t="shared" si="46"/>
        <v>-0.56111111111111112</v>
      </c>
      <c r="CW18" s="12">
        <f t="shared" si="47"/>
        <v>2280</v>
      </c>
    </row>
    <row r="19" spans="1:101" x14ac:dyDescent="0.25">
      <c r="A19" s="259">
        <f t="shared" si="48"/>
        <v>15</v>
      </c>
      <c r="B19" s="355">
        <v>24</v>
      </c>
      <c r="C19" s="311"/>
      <c r="D19" s="211" t="s">
        <v>505</v>
      </c>
      <c r="E19" s="212" t="s">
        <v>506</v>
      </c>
      <c r="F19" s="212" t="s">
        <v>507</v>
      </c>
      <c r="G19" s="212" t="s">
        <v>508</v>
      </c>
      <c r="H19" s="213" t="s">
        <v>28</v>
      </c>
      <c r="I19" s="213"/>
      <c r="J19" s="177">
        <f t="shared" si="0"/>
        <v>14521</v>
      </c>
      <c r="K19" s="123"/>
      <c r="L19" s="78"/>
      <c r="M19" s="67">
        <v>0.51666666666666605</v>
      </c>
      <c r="N19" s="118">
        <f t="shared" si="1"/>
        <v>0</v>
      </c>
      <c r="O19" s="76">
        <f t="shared" si="2"/>
        <v>60</v>
      </c>
      <c r="P19" s="122">
        <f t="shared" si="3"/>
        <v>0</v>
      </c>
      <c r="Q19" s="117">
        <f t="shared" si="4"/>
        <v>0.55833333333333268</v>
      </c>
      <c r="R19" s="176">
        <v>0.58333333333333337</v>
      </c>
      <c r="S19" s="68">
        <f t="shared" si="5"/>
        <v>36</v>
      </c>
      <c r="T19" s="118">
        <f t="shared" si="6"/>
        <v>2160</v>
      </c>
      <c r="U19" s="76">
        <f t="shared" si="7"/>
        <v>25</v>
      </c>
      <c r="V19" s="122">
        <v>0</v>
      </c>
      <c r="W19" s="117">
        <f t="shared" si="8"/>
        <v>0.60208333333333341</v>
      </c>
      <c r="X19" s="176"/>
      <c r="Y19" s="68" t="str">
        <f t="shared" si="9"/>
        <v/>
      </c>
      <c r="Z19" s="118">
        <f t="shared" si="10"/>
        <v>1800</v>
      </c>
      <c r="AA19" s="76">
        <f t="shared" si="11"/>
        <v>7</v>
      </c>
      <c r="AB19" s="122">
        <v>0</v>
      </c>
      <c r="AC19" s="117">
        <f t="shared" si="12"/>
        <v>0.60694444444444451</v>
      </c>
      <c r="AD19" s="176"/>
      <c r="AE19" s="68" t="str">
        <f t="shared" si="13"/>
        <v/>
      </c>
      <c r="AF19" s="118">
        <f t="shared" si="14"/>
        <v>1800</v>
      </c>
      <c r="AG19" s="76">
        <f t="shared" si="15"/>
        <v>70</v>
      </c>
      <c r="AH19" s="122">
        <v>0</v>
      </c>
      <c r="AI19" s="117">
        <f t="shared" si="16"/>
        <v>0.65555555555555567</v>
      </c>
      <c r="AJ19" s="68">
        <f t="shared" si="17"/>
        <v>7</v>
      </c>
      <c r="AK19" s="176">
        <v>0.64583333333333337</v>
      </c>
      <c r="AL19" s="68">
        <f t="shared" si="18"/>
        <v>-14</v>
      </c>
      <c r="AM19" s="118">
        <f t="shared" si="19"/>
        <v>1680</v>
      </c>
      <c r="AN19" s="121"/>
      <c r="AO19" s="75">
        <v>0.55341435185185184</v>
      </c>
      <c r="AP19" s="72">
        <f t="shared" si="20"/>
        <v>0</v>
      </c>
      <c r="AQ19" s="68">
        <f t="shared" si="21"/>
        <v>443</v>
      </c>
      <c r="AR19" s="59">
        <f t="shared" si="22"/>
        <v>0.5585416666666666</v>
      </c>
      <c r="AS19" s="75">
        <v>0.55868055555555551</v>
      </c>
      <c r="AT19" s="73">
        <f t="shared" si="23"/>
        <v>12</v>
      </c>
      <c r="AU19" s="74"/>
      <c r="AV19" s="119">
        <f t="shared" si="24"/>
        <v>12</v>
      </c>
      <c r="AW19" s="121"/>
      <c r="AX19" s="70">
        <v>0.58472222222222225</v>
      </c>
      <c r="AY19" s="72">
        <f t="shared" si="25"/>
        <v>0</v>
      </c>
      <c r="AZ19" s="68">
        <f t="shared" si="26"/>
        <v>478</v>
      </c>
      <c r="BA19" s="356">
        <v>700</v>
      </c>
      <c r="BB19" s="59">
        <f t="shared" si="27"/>
        <v>0.59282407407407411</v>
      </c>
      <c r="BC19" s="75">
        <v>0.6056597222222222</v>
      </c>
      <c r="BD19" s="73">
        <f t="shared" si="28"/>
        <v>1109</v>
      </c>
      <c r="BE19" s="74"/>
      <c r="BF19" s="119">
        <f t="shared" si="29"/>
        <v>1109</v>
      </c>
      <c r="BG19" s="121"/>
      <c r="BH19" s="70"/>
      <c r="BI19" s="72">
        <f t="shared" si="30"/>
        <v>0</v>
      </c>
      <c r="BJ19" s="68">
        <f t="shared" si="31"/>
        <v>1393</v>
      </c>
      <c r="BK19" s="59">
        <f t="shared" si="32"/>
        <v>1.6122685185185184E-2</v>
      </c>
      <c r="BL19" s="75"/>
      <c r="BM19" s="73">
        <f t="shared" si="33"/>
        <v>-1393</v>
      </c>
      <c r="BN19" s="74"/>
      <c r="BO19" s="119">
        <f t="shared" si="49"/>
        <v>1800</v>
      </c>
      <c r="BP19" s="121"/>
      <c r="BQ19" s="271">
        <v>0</v>
      </c>
      <c r="BR19" s="303">
        <f t="shared" si="35"/>
        <v>0</v>
      </c>
      <c r="BS19" s="304">
        <v>0</v>
      </c>
      <c r="BT19" s="175"/>
      <c r="BU19" s="305">
        <f t="shared" si="36"/>
        <v>0</v>
      </c>
      <c r="BV19" s="74"/>
      <c r="BW19" s="74"/>
      <c r="BX19" s="74"/>
      <c r="BY19" s="74"/>
      <c r="BZ19" s="379">
        <v>1800</v>
      </c>
      <c r="CA19" s="65" t="s">
        <v>522</v>
      </c>
      <c r="CB19" s="66" t="s">
        <v>519</v>
      </c>
      <c r="CC19" s="209">
        <v>3</v>
      </c>
      <c r="CD19" s="124">
        <f t="shared" si="38"/>
        <v>360</v>
      </c>
      <c r="CE19" s="210">
        <v>2</v>
      </c>
      <c r="CF19" s="124">
        <f t="shared" si="39"/>
        <v>2000</v>
      </c>
      <c r="CI19" s="67" t="s">
        <v>237</v>
      </c>
      <c r="CJ19" s="118">
        <f t="shared" si="40"/>
        <v>0</v>
      </c>
      <c r="CK19" s="76" t="e">
        <f t="shared" si="41"/>
        <v>#NAME?</v>
      </c>
      <c r="CL19" s="68" t="e">
        <f t="shared" si="42"/>
        <v>#NAME?</v>
      </c>
      <c r="CM19" s="69" t="e">
        <f t="shared" si="43"/>
        <v>#NAME?</v>
      </c>
      <c r="CN19" s="77">
        <v>0.4916666666666667</v>
      </c>
      <c r="CO19" s="74"/>
      <c r="CP19" s="68" t="e">
        <f t="shared" si="44"/>
        <v>#NAME?</v>
      </c>
      <c r="CQ19" s="118" t="e">
        <f t="shared" si="45"/>
        <v>#NAME?</v>
      </c>
      <c r="CS19" s="380">
        <f t="shared" si="46"/>
        <v>2.0937499999999942E-2</v>
      </c>
      <c r="CW19" s="12">
        <f t="shared" si="47"/>
        <v>2160</v>
      </c>
    </row>
    <row r="20" spans="1:101" x14ac:dyDescent="0.25">
      <c r="A20" s="259">
        <v>1</v>
      </c>
      <c r="B20" s="373">
        <v>20</v>
      </c>
      <c r="C20" s="311"/>
      <c r="D20" s="211" t="s">
        <v>467</v>
      </c>
      <c r="E20" s="212" t="s">
        <v>468</v>
      </c>
      <c r="F20" s="212" t="s">
        <v>260</v>
      </c>
      <c r="G20" s="212" t="s">
        <v>75</v>
      </c>
      <c r="H20" s="213" t="s">
        <v>27</v>
      </c>
      <c r="I20" s="213"/>
      <c r="J20" s="177">
        <f t="shared" si="0"/>
        <v>486.4</v>
      </c>
      <c r="K20" s="123"/>
      <c r="L20" s="78"/>
      <c r="M20" s="67">
        <v>0.51388888888888895</v>
      </c>
      <c r="N20" s="118">
        <f t="shared" si="1"/>
        <v>0</v>
      </c>
      <c r="O20" s="76">
        <f t="shared" si="2"/>
        <v>60</v>
      </c>
      <c r="P20" s="122">
        <f t="shared" si="3"/>
        <v>0</v>
      </c>
      <c r="Q20" s="117">
        <f t="shared" si="4"/>
        <v>0.55555555555555558</v>
      </c>
      <c r="R20" s="176">
        <v>0.55555555555555558</v>
      </c>
      <c r="S20" s="68">
        <f t="shared" si="5"/>
        <v>0</v>
      </c>
      <c r="T20" s="118">
        <f t="shared" si="6"/>
        <v>0</v>
      </c>
      <c r="U20" s="76">
        <f t="shared" si="7"/>
        <v>25</v>
      </c>
      <c r="V20" s="122">
        <v>0</v>
      </c>
      <c r="W20" s="117">
        <f t="shared" si="8"/>
        <v>0.57500000000000007</v>
      </c>
      <c r="X20" s="176">
        <v>0.57500000000000007</v>
      </c>
      <c r="Y20" s="68">
        <f t="shared" si="9"/>
        <v>0</v>
      </c>
      <c r="Z20" s="118">
        <f t="shared" si="10"/>
        <v>0</v>
      </c>
      <c r="AA20" s="76">
        <f t="shared" si="11"/>
        <v>7</v>
      </c>
      <c r="AB20" s="122">
        <v>0</v>
      </c>
      <c r="AC20" s="117">
        <f t="shared" si="12"/>
        <v>0.57986111111111116</v>
      </c>
      <c r="AD20" s="176">
        <v>0.5805555555555556</v>
      </c>
      <c r="AE20" s="68">
        <f t="shared" si="13"/>
        <v>1</v>
      </c>
      <c r="AF20" s="118">
        <f t="shared" si="14"/>
        <v>60</v>
      </c>
      <c r="AG20" s="76">
        <f t="shared" si="15"/>
        <v>70</v>
      </c>
      <c r="AH20" s="122">
        <v>0</v>
      </c>
      <c r="AI20" s="117">
        <f t="shared" si="16"/>
        <v>0.62986111111111109</v>
      </c>
      <c r="AJ20" s="68">
        <f t="shared" si="17"/>
        <v>7</v>
      </c>
      <c r="AK20" s="176">
        <v>0.62986111111111109</v>
      </c>
      <c r="AL20" s="68">
        <f t="shared" si="18"/>
        <v>0</v>
      </c>
      <c r="AM20" s="118">
        <f t="shared" si="19"/>
        <v>0</v>
      </c>
      <c r="AN20" s="121"/>
      <c r="AO20" s="75">
        <v>0.54495370370370366</v>
      </c>
      <c r="AP20" s="72">
        <f t="shared" si="20"/>
        <v>0</v>
      </c>
      <c r="AQ20" s="68">
        <f t="shared" si="21"/>
        <v>443</v>
      </c>
      <c r="AR20" s="59">
        <f t="shared" si="22"/>
        <v>0.55008101851851843</v>
      </c>
      <c r="AS20" s="75">
        <v>0.54956018518518512</v>
      </c>
      <c r="AT20" s="73">
        <f t="shared" si="23"/>
        <v>-45</v>
      </c>
      <c r="AU20" s="74"/>
      <c r="AV20" s="119">
        <f t="shared" si="24"/>
        <v>45</v>
      </c>
      <c r="AW20" s="121"/>
      <c r="AX20" s="70">
        <v>0.55763888888888891</v>
      </c>
      <c r="AY20" s="72">
        <f t="shared" si="25"/>
        <v>0</v>
      </c>
      <c r="AZ20" s="68">
        <f t="shared" si="26"/>
        <v>478</v>
      </c>
      <c r="BA20" s="356">
        <v>700</v>
      </c>
      <c r="BB20" s="59">
        <f t="shared" si="27"/>
        <v>0.56574074074074077</v>
      </c>
      <c r="BC20" s="75">
        <v>0.56606481481481474</v>
      </c>
      <c r="BD20" s="73">
        <f t="shared" si="28"/>
        <v>28</v>
      </c>
      <c r="BE20" s="74"/>
      <c r="BF20" s="119">
        <f t="shared" si="29"/>
        <v>28</v>
      </c>
      <c r="BG20" s="121"/>
      <c r="BH20" s="70">
        <v>0.58124999999999993</v>
      </c>
      <c r="BI20" s="72">
        <f t="shared" si="30"/>
        <v>0</v>
      </c>
      <c r="BJ20" s="68">
        <f t="shared" si="31"/>
        <v>1393</v>
      </c>
      <c r="BK20" s="59">
        <f t="shared" si="32"/>
        <v>0.59737268518518516</v>
      </c>
      <c r="BL20" s="75">
        <v>0.60076388888888888</v>
      </c>
      <c r="BM20" s="73">
        <f t="shared" si="33"/>
        <v>293</v>
      </c>
      <c r="BN20" s="74"/>
      <c r="BO20" s="119">
        <f t="shared" si="49"/>
        <v>293</v>
      </c>
      <c r="BP20" s="121"/>
      <c r="BQ20" s="271">
        <v>0</v>
      </c>
      <c r="BR20" s="303">
        <f t="shared" si="35"/>
        <v>0</v>
      </c>
      <c r="BS20" s="304">
        <v>0</v>
      </c>
      <c r="BT20" s="375">
        <v>60.38</v>
      </c>
      <c r="BU20" s="305">
        <f t="shared" si="36"/>
        <v>60.4</v>
      </c>
      <c r="BV20" s="74"/>
      <c r="BW20" s="74"/>
      <c r="BX20" s="74"/>
      <c r="BY20" s="74"/>
      <c r="BZ20" s="119">
        <f t="shared" ref="BZ20:BZ25" si="50">IF(NOT(ISBLANK(BQ20)),(BU20+IF(ISBLANK(BV20),0,ШтрафФальстартНаДС)+BW20*ШтрафСбитыйКонусНаСЛ+IF(ISBLANK(BX20),0,ШтрафНеостановкаБазойНаСЛ)+BY20*ШтрафПроездСЛНеПоСхеме)*СЛКоэффициент,ШтрафПропускДС)</f>
        <v>60.4</v>
      </c>
      <c r="CA20" s="65" t="s">
        <v>519</v>
      </c>
      <c r="CB20" s="66" t="s">
        <v>519</v>
      </c>
      <c r="CC20" s="209">
        <v>0</v>
      </c>
      <c r="CD20" s="124">
        <f t="shared" si="38"/>
        <v>0</v>
      </c>
      <c r="CE20" s="210"/>
      <c r="CF20" s="124">
        <f t="shared" si="39"/>
        <v>0</v>
      </c>
      <c r="CI20" s="67" t="s">
        <v>237</v>
      </c>
      <c r="CJ20" s="118">
        <f t="shared" si="40"/>
        <v>0</v>
      </c>
      <c r="CK20" s="76" t="e">
        <f t="shared" si="41"/>
        <v>#NAME?</v>
      </c>
      <c r="CL20" s="68" t="e">
        <f t="shared" si="42"/>
        <v>#NAME?</v>
      </c>
      <c r="CM20" s="69" t="e">
        <f t="shared" si="43"/>
        <v>#NAME?</v>
      </c>
      <c r="CN20" s="77">
        <v>0.4916666666666667</v>
      </c>
      <c r="CO20" s="74"/>
      <c r="CP20" s="68" t="e">
        <f t="shared" si="44"/>
        <v>#NAME?</v>
      </c>
      <c r="CQ20" s="118" t="e">
        <f t="shared" si="45"/>
        <v>#NAME?</v>
      </c>
      <c r="CS20" s="380">
        <f t="shared" si="46"/>
        <v>8.4259259259258368E-3</v>
      </c>
      <c r="CW20" s="12">
        <f t="shared" si="47"/>
        <v>60</v>
      </c>
    </row>
    <row r="21" spans="1:101" x14ac:dyDescent="0.25">
      <c r="A21" s="259">
        <f>1+A20</f>
        <v>2</v>
      </c>
      <c r="B21" s="373">
        <v>23</v>
      </c>
      <c r="C21" s="311"/>
      <c r="D21" s="211" t="s">
        <v>110</v>
      </c>
      <c r="E21" s="212" t="s">
        <v>255</v>
      </c>
      <c r="F21" s="212" t="s">
        <v>41</v>
      </c>
      <c r="G21" s="212" t="s">
        <v>498</v>
      </c>
      <c r="H21" s="213" t="s">
        <v>27</v>
      </c>
      <c r="I21" s="213"/>
      <c r="J21" s="177">
        <f t="shared" si="0"/>
        <v>1121.8</v>
      </c>
      <c r="K21" s="123"/>
      <c r="L21" s="78" t="s">
        <v>530</v>
      </c>
      <c r="M21" s="67">
        <v>0.51597222222222205</v>
      </c>
      <c r="N21" s="118">
        <f t="shared" si="1"/>
        <v>0</v>
      </c>
      <c r="O21" s="76">
        <f t="shared" si="2"/>
        <v>60</v>
      </c>
      <c r="P21" s="122">
        <f t="shared" si="3"/>
        <v>0</v>
      </c>
      <c r="Q21" s="117">
        <f t="shared" si="4"/>
        <v>0.55763888888888868</v>
      </c>
      <c r="R21" s="176">
        <v>0.55833333333333335</v>
      </c>
      <c r="S21" s="68">
        <f t="shared" si="5"/>
        <v>1</v>
      </c>
      <c r="T21" s="118">
        <f t="shared" si="6"/>
        <v>60</v>
      </c>
      <c r="U21" s="76">
        <f t="shared" si="7"/>
        <v>25</v>
      </c>
      <c r="V21" s="122">
        <v>0</v>
      </c>
      <c r="W21" s="117">
        <f t="shared" si="8"/>
        <v>0.57986111111111116</v>
      </c>
      <c r="X21" s="176">
        <v>0.57986111111111105</v>
      </c>
      <c r="Y21" s="68">
        <f t="shared" si="9"/>
        <v>0</v>
      </c>
      <c r="Z21" s="118">
        <f t="shared" si="10"/>
        <v>0</v>
      </c>
      <c r="AA21" s="76">
        <f t="shared" si="11"/>
        <v>7</v>
      </c>
      <c r="AB21" s="122">
        <v>0</v>
      </c>
      <c r="AC21" s="117">
        <f t="shared" si="12"/>
        <v>0.58472222222222214</v>
      </c>
      <c r="AD21" s="176">
        <v>0.58680555555555558</v>
      </c>
      <c r="AE21" s="68">
        <f t="shared" si="13"/>
        <v>3</v>
      </c>
      <c r="AF21" s="118">
        <f t="shared" si="14"/>
        <v>180</v>
      </c>
      <c r="AG21" s="76">
        <f t="shared" si="15"/>
        <v>70</v>
      </c>
      <c r="AH21" s="122">
        <v>0</v>
      </c>
      <c r="AI21" s="117">
        <f t="shared" si="16"/>
        <v>0.63680555555555562</v>
      </c>
      <c r="AJ21" s="68">
        <f t="shared" si="17"/>
        <v>7</v>
      </c>
      <c r="AK21" s="176">
        <v>0.63472222222222219</v>
      </c>
      <c r="AL21" s="68">
        <f t="shared" si="18"/>
        <v>-3</v>
      </c>
      <c r="AM21" s="118">
        <f t="shared" si="19"/>
        <v>0</v>
      </c>
      <c r="AN21" s="121"/>
      <c r="AO21" s="75">
        <v>0.54753472222222221</v>
      </c>
      <c r="AP21" s="72">
        <f t="shared" si="20"/>
        <v>0</v>
      </c>
      <c r="AQ21" s="68">
        <f t="shared" si="21"/>
        <v>443</v>
      </c>
      <c r="AR21" s="59">
        <f t="shared" si="22"/>
        <v>0.55266203703703698</v>
      </c>
      <c r="AS21" s="75">
        <v>0.5526388888888889</v>
      </c>
      <c r="AT21" s="73">
        <f t="shared" si="23"/>
        <v>-2</v>
      </c>
      <c r="AU21" s="74"/>
      <c r="AV21" s="119">
        <f t="shared" si="24"/>
        <v>2</v>
      </c>
      <c r="AW21" s="121"/>
      <c r="AX21" s="70">
        <v>0.5625</v>
      </c>
      <c r="AY21" s="72">
        <f t="shared" si="25"/>
        <v>0</v>
      </c>
      <c r="AZ21" s="68">
        <f t="shared" si="26"/>
        <v>478</v>
      </c>
      <c r="BA21" s="356">
        <v>700</v>
      </c>
      <c r="BB21" s="59">
        <f t="shared" si="27"/>
        <v>0.57060185185185186</v>
      </c>
      <c r="BC21" s="75">
        <v>0.57135416666666672</v>
      </c>
      <c r="BD21" s="73">
        <f t="shared" si="28"/>
        <v>65</v>
      </c>
      <c r="BE21" s="74"/>
      <c r="BF21" s="379">
        <v>0</v>
      </c>
      <c r="BG21" s="121"/>
      <c r="BH21" s="70">
        <v>0.58819444444444446</v>
      </c>
      <c r="BI21" s="72">
        <f t="shared" si="30"/>
        <v>0</v>
      </c>
      <c r="BJ21" s="68">
        <f t="shared" si="31"/>
        <v>1393</v>
      </c>
      <c r="BK21" s="59">
        <f t="shared" si="32"/>
        <v>0.60431712962962969</v>
      </c>
      <c r="BL21" s="75">
        <v>0.61053240740740744</v>
      </c>
      <c r="BM21" s="73">
        <f t="shared" si="33"/>
        <v>537</v>
      </c>
      <c r="BN21" s="74"/>
      <c r="BO21" s="119">
        <f t="shared" si="49"/>
        <v>537</v>
      </c>
      <c r="BP21" s="121"/>
      <c r="BQ21" s="271">
        <v>0</v>
      </c>
      <c r="BR21" s="303">
        <f t="shared" si="35"/>
        <v>0</v>
      </c>
      <c r="BS21" s="304">
        <v>0</v>
      </c>
      <c r="BT21" s="175">
        <v>102.76</v>
      </c>
      <c r="BU21" s="305">
        <f t="shared" si="36"/>
        <v>102.8</v>
      </c>
      <c r="BV21" s="74"/>
      <c r="BW21" s="74"/>
      <c r="BX21" s="74"/>
      <c r="BY21" s="74"/>
      <c r="BZ21" s="119">
        <f t="shared" si="50"/>
        <v>102.8</v>
      </c>
      <c r="CA21" s="65" t="s">
        <v>523</v>
      </c>
      <c r="CB21" s="66" t="s">
        <v>519</v>
      </c>
      <c r="CC21" s="209">
        <v>2</v>
      </c>
      <c r="CD21" s="124">
        <f t="shared" si="38"/>
        <v>240</v>
      </c>
      <c r="CE21" s="210"/>
      <c r="CF21" s="124">
        <f t="shared" si="39"/>
        <v>0</v>
      </c>
      <c r="CI21" s="67"/>
      <c r="CJ21" s="118"/>
      <c r="CK21" s="76"/>
      <c r="CL21" s="68"/>
      <c r="CM21" s="69"/>
      <c r="CN21" s="77"/>
      <c r="CO21" s="74"/>
      <c r="CP21" s="68"/>
      <c r="CQ21" s="118"/>
      <c r="CS21" s="380">
        <f t="shared" si="46"/>
        <v>8.8541666666667185E-3</v>
      </c>
      <c r="CW21" s="12">
        <f t="shared" si="47"/>
        <v>420</v>
      </c>
    </row>
    <row r="22" spans="1:101" x14ac:dyDescent="0.25">
      <c r="A22" s="259">
        <f t="shared" ref="A22:A25" si="51">1+A21</f>
        <v>3</v>
      </c>
      <c r="B22" s="373">
        <v>19</v>
      </c>
      <c r="C22" s="311"/>
      <c r="D22" s="211" t="s">
        <v>117</v>
      </c>
      <c r="E22" s="212" t="s">
        <v>258</v>
      </c>
      <c r="F22" s="381" t="s">
        <v>118</v>
      </c>
      <c r="G22" s="212" t="s">
        <v>119</v>
      </c>
      <c r="H22" s="213" t="s">
        <v>27</v>
      </c>
      <c r="I22" s="213"/>
      <c r="J22" s="177">
        <f t="shared" si="0"/>
        <v>1395.5</v>
      </c>
      <c r="K22" s="123"/>
      <c r="L22" s="78"/>
      <c r="M22" s="67">
        <v>0.5131944444444444</v>
      </c>
      <c r="N22" s="118">
        <f t="shared" si="1"/>
        <v>0</v>
      </c>
      <c r="O22" s="76">
        <f t="shared" si="2"/>
        <v>60</v>
      </c>
      <c r="P22" s="122">
        <f t="shared" si="3"/>
        <v>0</v>
      </c>
      <c r="Q22" s="117">
        <f t="shared" si="4"/>
        <v>0.55486111111111103</v>
      </c>
      <c r="R22" s="176">
        <v>0.55763888888888891</v>
      </c>
      <c r="S22" s="68">
        <f t="shared" si="5"/>
        <v>4</v>
      </c>
      <c r="T22" s="118">
        <f t="shared" si="6"/>
        <v>240</v>
      </c>
      <c r="U22" s="76">
        <f t="shared" si="7"/>
        <v>25</v>
      </c>
      <c r="V22" s="122">
        <v>0</v>
      </c>
      <c r="W22" s="117">
        <f t="shared" si="8"/>
        <v>0.57777777777777783</v>
      </c>
      <c r="X22" s="176">
        <v>0.57638888888888895</v>
      </c>
      <c r="Y22" s="68">
        <f t="shared" si="9"/>
        <v>-2</v>
      </c>
      <c r="Z22" s="118">
        <f t="shared" si="10"/>
        <v>240</v>
      </c>
      <c r="AA22" s="76">
        <f t="shared" si="11"/>
        <v>7</v>
      </c>
      <c r="AB22" s="122">
        <v>0</v>
      </c>
      <c r="AC22" s="117">
        <f t="shared" si="12"/>
        <v>0.58125000000000004</v>
      </c>
      <c r="AD22" s="176">
        <v>0.58611111111111114</v>
      </c>
      <c r="AE22" s="68">
        <f t="shared" si="13"/>
        <v>7</v>
      </c>
      <c r="AF22" s="118">
        <f t="shared" si="14"/>
        <v>420</v>
      </c>
      <c r="AG22" s="76">
        <f t="shared" si="15"/>
        <v>70</v>
      </c>
      <c r="AH22" s="122">
        <v>0</v>
      </c>
      <c r="AI22" s="117">
        <f t="shared" si="16"/>
        <v>0.63541666666666674</v>
      </c>
      <c r="AJ22" s="68">
        <f t="shared" si="17"/>
        <v>7</v>
      </c>
      <c r="AK22" s="176">
        <v>0.63472222222222219</v>
      </c>
      <c r="AL22" s="68">
        <f t="shared" si="18"/>
        <v>-1</v>
      </c>
      <c r="AM22" s="118">
        <f t="shared" si="19"/>
        <v>0</v>
      </c>
      <c r="AN22" s="121"/>
      <c r="AO22" s="75">
        <v>0.54767361111111112</v>
      </c>
      <c r="AP22" s="72">
        <f t="shared" si="20"/>
        <v>0</v>
      </c>
      <c r="AQ22" s="68">
        <f t="shared" si="21"/>
        <v>443</v>
      </c>
      <c r="AR22" s="59">
        <f t="shared" si="22"/>
        <v>0.55280092592592589</v>
      </c>
      <c r="AS22" s="75">
        <v>0.55285879629629631</v>
      </c>
      <c r="AT22" s="73">
        <f t="shared" si="23"/>
        <v>5</v>
      </c>
      <c r="AU22" s="74"/>
      <c r="AV22" s="119">
        <f t="shared" si="24"/>
        <v>5</v>
      </c>
      <c r="AW22" s="121"/>
      <c r="AX22" s="70">
        <v>0.56041666666666667</v>
      </c>
      <c r="AY22" s="72">
        <f t="shared" si="25"/>
        <v>0</v>
      </c>
      <c r="AZ22" s="68">
        <f t="shared" si="26"/>
        <v>478</v>
      </c>
      <c r="BA22" s="356">
        <v>700</v>
      </c>
      <c r="BB22" s="59">
        <f t="shared" si="27"/>
        <v>0.56851851851851853</v>
      </c>
      <c r="BC22" s="75">
        <v>0.56854166666666661</v>
      </c>
      <c r="BD22" s="73">
        <f t="shared" si="28"/>
        <v>2</v>
      </c>
      <c r="BE22" s="74"/>
      <c r="BF22" s="119">
        <f>IF(NOT(OR(ISBLANK(AX22),ISBLANK(BC22))),IF(BD22&lt;0,IF(-BD22&lt;=BA22-AZ22,0,ШтрафОпережениеНаРУ),BD22*ШтрафОтставаниеНаРУ)+IF(ISBLANK(BE22),0,ШтрафФальстартНаДС),ШтрафПропускДС)</f>
        <v>2</v>
      </c>
      <c r="BG22" s="121"/>
      <c r="BH22" s="70">
        <v>0.58680555555555558</v>
      </c>
      <c r="BI22" s="72">
        <f t="shared" si="30"/>
        <v>0</v>
      </c>
      <c r="BJ22" s="68">
        <f t="shared" si="31"/>
        <v>1393</v>
      </c>
      <c r="BK22" s="59">
        <f t="shared" si="32"/>
        <v>0.60292824074074081</v>
      </c>
      <c r="BL22" s="75">
        <v>0.60364583333333333</v>
      </c>
      <c r="BM22" s="73">
        <f t="shared" si="33"/>
        <v>62</v>
      </c>
      <c r="BN22" s="74"/>
      <c r="BO22" s="119">
        <f t="shared" si="49"/>
        <v>62</v>
      </c>
      <c r="BP22" s="121"/>
      <c r="BQ22" s="271">
        <v>0</v>
      </c>
      <c r="BR22" s="303">
        <f t="shared" si="35"/>
        <v>0</v>
      </c>
      <c r="BS22" s="304">
        <v>0</v>
      </c>
      <c r="BT22" s="175">
        <v>66.48</v>
      </c>
      <c r="BU22" s="305">
        <f t="shared" si="36"/>
        <v>66.5</v>
      </c>
      <c r="BV22" s="74"/>
      <c r="BW22" s="74"/>
      <c r="BX22" s="74"/>
      <c r="BY22" s="74"/>
      <c r="BZ22" s="119">
        <f t="shared" si="50"/>
        <v>66.5</v>
      </c>
      <c r="CA22" s="65" t="s">
        <v>526</v>
      </c>
      <c r="CB22" s="66" t="s">
        <v>519</v>
      </c>
      <c r="CC22" s="209">
        <v>3</v>
      </c>
      <c r="CD22" s="124">
        <f t="shared" si="38"/>
        <v>360</v>
      </c>
      <c r="CE22" s="210"/>
      <c r="CF22" s="124">
        <f t="shared" si="39"/>
        <v>0</v>
      </c>
      <c r="CI22" s="67" t="s">
        <v>237</v>
      </c>
      <c r="CJ22" s="118">
        <f>IF(NOT(ISBLANK(CI22)),0,ШтрафПропускКП)</f>
        <v>0</v>
      </c>
      <c r="CK22" s="76" t="e">
        <f>ROUNDDOWN(ВКВ1Расстояние/КВ3Скорость*60,0)</f>
        <v>#NAME?</v>
      </c>
      <c r="CL22" s="68" t="e">
        <f>ROUNDUP(CK22/10,0)</f>
        <v>#NAME?</v>
      </c>
      <c r="CM22" s="69" t="e">
        <f>IF(NOT(ISBLANK(R22)),R22+CK22/1440,Q22+CK22/1440)</f>
        <v>#NAME?</v>
      </c>
      <c r="CN22" s="77">
        <v>0.4916666666666667</v>
      </c>
      <c r="CO22" s="74"/>
      <c r="CP22" s="68" t="e">
        <f>ROUND((CN22-CM22)*1440,0)</f>
        <v>#NAME?</v>
      </c>
      <c r="CQ22" s="118" t="e">
        <f>IF(NOT(ISBLANK(CN22)),IF(CP22&gt;=0,0,IF(-CP22&lt;=CL22,0,-(CP22+CL22)*ШтрафОпережениеНаВКВ))+IF(NOT(ISBLANK(CO22)),ШтрафОтсутсвиеОтметкиНаВКВ,0),ШтрафПропускКВ)</f>
        <v>#NAME?</v>
      </c>
      <c r="CS22" s="380">
        <f t="shared" si="46"/>
        <v>8.1249999999999378E-3</v>
      </c>
      <c r="CW22" s="12">
        <f t="shared" si="47"/>
        <v>780</v>
      </c>
    </row>
    <row r="23" spans="1:101" x14ac:dyDescent="0.25">
      <c r="A23" s="259">
        <f t="shared" si="51"/>
        <v>4</v>
      </c>
      <c r="B23" s="373">
        <v>18</v>
      </c>
      <c r="C23" s="311"/>
      <c r="D23" s="211" t="s">
        <v>104</v>
      </c>
      <c r="E23" s="212" t="s">
        <v>257</v>
      </c>
      <c r="F23" s="212" t="s">
        <v>465</v>
      </c>
      <c r="G23" s="212" t="s">
        <v>466</v>
      </c>
      <c r="H23" s="213" t="s">
        <v>27</v>
      </c>
      <c r="I23" s="213"/>
      <c r="J23" s="177">
        <f t="shared" si="0"/>
        <v>2333.8000000000002</v>
      </c>
      <c r="K23" s="123"/>
      <c r="L23" s="78"/>
      <c r="M23" s="67">
        <v>0.51250000000000007</v>
      </c>
      <c r="N23" s="118">
        <f t="shared" si="1"/>
        <v>0</v>
      </c>
      <c r="O23" s="76">
        <f t="shared" si="2"/>
        <v>60</v>
      </c>
      <c r="P23" s="122">
        <f t="shared" si="3"/>
        <v>0</v>
      </c>
      <c r="Q23" s="117">
        <f t="shared" si="4"/>
        <v>0.5541666666666667</v>
      </c>
      <c r="R23" s="176">
        <v>0.5541666666666667</v>
      </c>
      <c r="S23" s="68">
        <f t="shared" si="5"/>
        <v>0</v>
      </c>
      <c r="T23" s="118">
        <f t="shared" si="6"/>
        <v>0</v>
      </c>
      <c r="U23" s="76">
        <f t="shared" si="7"/>
        <v>25</v>
      </c>
      <c r="V23" s="122">
        <v>0</v>
      </c>
      <c r="W23" s="117">
        <f t="shared" si="8"/>
        <v>0.57291666666666674</v>
      </c>
      <c r="X23" s="176">
        <v>0.57222222222222219</v>
      </c>
      <c r="Y23" s="68">
        <f t="shared" si="9"/>
        <v>-1</v>
      </c>
      <c r="Z23" s="118">
        <f t="shared" si="10"/>
        <v>0</v>
      </c>
      <c r="AA23" s="76">
        <f t="shared" si="11"/>
        <v>7</v>
      </c>
      <c r="AB23" s="122">
        <v>0</v>
      </c>
      <c r="AC23" s="117">
        <f t="shared" si="12"/>
        <v>0.57708333333333328</v>
      </c>
      <c r="AD23" s="176">
        <v>0.58611111111111114</v>
      </c>
      <c r="AE23" s="68">
        <f t="shared" si="13"/>
        <v>13</v>
      </c>
      <c r="AF23" s="118">
        <f t="shared" si="14"/>
        <v>780</v>
      </c>
      <c r="AG23" s="76">
        <f t="shared" si="15"/>
        <v>70</v>
      </c>
      <c r="AH23" s="122">
        <v>0</v>
      </c>
      <c r="AI23" s="117">
        <f t="shared" si="16"/>
        <v>0.63611111111111118</v>
      </c>
      <c r="AJ23" s="68">
        <f t="shared" si="17"/>
        <v>7</v>
      </c>
      <c r="AK23" s="176">
        <v>0.63472222222222219</v>
      </c>
      <c r="AL23" s="68">
        <f t="shared" si="18"/>
        <v>-2</v>
      </c>
      <c r="AM23" s="118">
        <f t="shared" si="19"/>
        <v>0</v>
      </c>
      <c r="AN23" s="121"/>
      <c r="AO23" s="75">
        <v>0.53914351851851849</v>
      </c>
      <c r="AP23" s="72">
        <f t="shared" si="20"/>
        <v>0</v>
      </c>
      <c r="AQ23" s="68">
        <f t="shared" si="21"/>
        <v>443</v>
      </c>
      <c r="AR23" s="59">
        <f t="shared" si="22"/>
        <v>0.54427083333333326</v>
      </c>
      <c r="AS23" s="75">
        <v>0.54491898148148155</v>
      </c>
      <c r="AT23" s="73">
        <f t="shared" si="23"/>
        <v>56</v>
      </c>
      <c r="AU23" s="74"/>
      <c r="AV23" s="119">
        <f t="shared" si="24"/>
        <v>56</v>
      </c>
      <c r="AW23" s="121"/>
      <c r="AX23" s="70">
        <v>0.55555555555555558</v>
      </c>
      <c r="AY23" s="72">
        <f t="shared" si="25"/>
        <v>0</v>
      </c>
      <c r="AZ23" s="68">
        <f t="shared" si="26"/>
        <v>478</v>
      </c>
      <c r="BA23" s="356">
        <v>950</v>
      </c>
      <c r="BB23" s="59">
        <f t="shared" si="27"/>
        <v>0.56655092592592593</v>
      </c>
      <c r="BC23" s="75">
        <v>0.5665162037037037</v>
      </c>
      <c r="BD23" s="73">
        <f t="shared" si="28"/>
        <v>-3</v>
      </c>
      <c r="BE23" s="74"/>
      <c r="BF23" s="119">
        <f>IF(NOT(OR(ISBLANK(AX23),ISBLANK(BC23))),IF(BD23&lt;0,IF(-BD23&lt;=BA23-AZ23,0,ШтрафОпережениеНаРУ),BD23*ШтрафОтставаниеНаРУ)+IF(ISBLANK(BE23),0,ШтрафФальстартНаДС),ШтрафПропускДС)</f>
        <v>0</v>
      </c>
      <c r="BG23" s="121"/>
      <c r="BH23" s="70">
        <v>0.58750000000000002</v>
      </c>
      <c r="BI23" s="72">
        <f t="shared" si="30"/>
        <v>0</v>
      </c>
      <c r="BJ23" s="68">
        <f t="shared" si="31"/>
        <v>1393</v>
      </c>
      <c r="BK23" s="59">
        <f t="shared" si="32"/>
        <v>0.60362268518518525</v>
      </c>
      <c r="BL23" s="75">
        <v>0.61606481481481479</v>
      </c>
      <c r="BM23" s="73">
        <f t="shared" si="33"/>
        <v>1075</v>
      </c>
      <c r="BN23" s="74"/>
      <c r="BO23" s="119">
        <f t="shared" si="49"/>
        <v>1075</v>
      </c>
      <c r="BP23" s="121"/>
      <c r="BQ23" s="271">
        <v>0</v>
      </c>
      <c r="BR23" s="303">
        <f t="shared" si="35"/>
        <v>0</v>
      </c>
      <c r="BS23" s="304">
        <v>0</v>
      </c>
      <c r="BT23" s="175">
        <v>62.8</v>
      </c>
      <c r="BU23" s="305">
        <f t="shared" si="36"/>
        <v>62.8</v>
      </c>
      <c r="BV23" s="74"/>
      <c r="BW23" s="74"/>
      <c r="BX23" s="74"/>
      <c r="BY23" s="74"/>
      <c r="BZ23" s="119">
        <f t="shared" si="50"/>
        <v>62.8</v>
      </c>
      <c r="CA23" s="65" t="s">
        <v>526</v>
      </c>
      <c r="CB23" s="66" t="s">
        <v>519</v>
      </c>
      <c r="CC23" s="209">
        <v>3</v>
      </c>
      <c r="CD23" s="124">
        <f t="shared" si="38"/>
        <v>360</v>
      </c>
      <c r="CE23" s="210"/>
      <c r="CF23" s="124">
        <f t="shared" si="39"/>
        <v>0</v>
      </c>
      <c r="CI23" s="67" t="s">
        <v>237</v>
      </c>
      <c r="CJ23" s="118">
        <f>IF(NOT(ISBLANK(CI23)),0,ШтрафПропускКП)</f>
        <v>0</v>
      </c>
      <c r="CK23" s="76" t="e">
        <f>ROUNDDOWN(ВКВ1Расстояние/КВ3Скорость*60,0)</f>
        <v>#NAME?</v>
      </c>
      <c r="CL23" s="68" t="e">
        <f>ROUNDUP(CK23/10,0)</f>
        <v>#NAME?</v>
      </c>
      <c r="CM23" s="69" t="e">
        <f>IF(NOT(ISBLANK(R23)),R23+CK23/1440,Q23+CK23/1440)</f>
        <v>#NAME?</v>
      </c>
      <c r="CN23" s="77">
        <v>0.4916666666666667</v>
      </c>
      <c r="CO23" s="74"/>
      <c r="CP23" s="68" t="e">
        <f>ROUND((CN23-CM23)*1440,0)</f>
        <v>#NAME?</v>
      </c>
      <c r="CQ23" s="118" t="e">
        <f>IF(NOT(ISBLANK(CN23)),IF(CP23&gt;=0,0,IF(-CP23&lt;=CL23,0,-(CP23+CL23)*ШтрафОпережениеНаВКВ))+IF(NOT(ISBLANK(CO23)),ШтрафОтсутсвиеОтметкиНаВКВ,0),ШтрафПропускКВ)</f>
        <v>#NAME?</v>
      </c>
      <c r="CS23" s="380">
        <f t="shared" si="46"/>
        <v>1.0960648148148122E-2</v>
      </c>
      <c r="CW23" s="12">
        <f t="shared" si="47"/>
        <v>1140</v>
      </c>
    </row>
    <row r="24" spans="1:101" x14ac:dyDescent="0.25">
      <c r="A24" s="259">
        <f t="shared" si="51"/>
        <v>5</v>
      </c>
      <c r="B24" s="374">
        <v>21</v>
      </c>
      <c r="C24" s="311"/>
      <c r="D24" s="368" t="s">
        <v>238</v>
      </c>
      <c r="E24" s="369" t="s">
        <v>39</v>
      </c>
      <c r="F24" s="369" t="s">
        <v>531</v>
      </c>
      <c r="G24" s="369" t="s">
        <v>77</v>
      </c>
      <c r="H24" s="370" t="s">
        <v>27</v>
      </c>
      <c r="I24" s="213"/>
      <c r="J24" s="177">
        <f t="shared" si="0"/>
        <v>2919.4</v>
      </c>
      <c r="K24" s="123"/>
      <c r="L24" s="78"/>
      <c r="M24" s="67">
        <v>0.51458333333333328</v>
      </c>
      <c r="N24" s="118">
        <f t="shared" si="1"/>
        <v>0</v>
      </c>
      <c r="O24" s="76">
        <f t="shared" si="2"/>
        <v>60</v>
      </c>
      <c r="P24" s="122">
        <f t="shared" si="3"/>
        <v>0</v>
      </c>
      <c r="Q24" s="117">
        <f t="shared" si="4"/>
        <v>0.55624999999999991</v>
      </c>
      <c r="R24" s="176">
        <v>0.55625000000000002</v>
      </c>
      <c r="S24" s="68">
        <f t="shared" si="5"/>
        <v>0</v>
      </c>
      <c r="T24" s="118">
        <f t="shared" si="6"/>
        <v>0</v>
      </c>
      <c r="U24" s="76">
        <f t="shared" si="7"/>
        <v>25</v>
      </c>
      <c r="V24" s="122">
        <v>0</v>
      </c>
      <c r="W24" s="117">
        <f t="shared" si="8"/>
        <v>0.57569444444444451</v>
      </c>
      <c r="X24" s="176">
        <v>0.57291666666666663</v>
      </c>
      <c r="Y24" s="68">
        <f t="shared" si="9"/>
        <v>-4</v>
      </c>
      <c r="Z24" s="118">
        <f t="shared" si="10"/>
        <v>480</v>
      </c>
      <c r="AA24" s="76">
        <f t="shared" si="11"/>
        <v>7</v>
      </c>
      <c r="AB24" s="122">
        <v>0</v>
      </c>
      <c r="AC24" s="117">
        <f t="shared" si="12"/>
        <v>0.57777777777777772</v>
      </c>
      <c r="AD24" s="176">
        <v>0.58958333333333335</v>
      </c>
      <c r="AE24" s="68">
        <f t="shared" si="13"/>
        <v>17</v>
      </c>
      <c r="AF24" s="118">
        <f t="shared" si="14"/>
        <v>1020</v>
      </c>
      <c r="AG24" s="76">
        <f t="shared" si="15"/>
        <v>70</v>
      </c>
      <c r="AH24" s="122">
        <v>0</v>
      </c>
      <c r="AI24" s="117">
        <f t="shared" si="16"/>
        <v>0.63958333333333339</v>
      </c>
      <c r="AJ24" s="68">
        <f t="shared" si="17"/>
        <v>7</v>
      </c>
      <c r="AK24" s="176">
        <v>0.63958333333333328</v>
      </c>
      <c r="AL24" s="68">
        <f t="shared" si="18"/>
        <v>0</v>
      </c>
      <c r="AM24" s="118">
        <f t="shared" si="19"/>
        <v>0</v>
      </c>
      <c r="AN24" s="121"/>
      <c r="AO24" s="75">
        <v>0.53553240740740737</v>
      </c>
      <c r="AP24" s="72">
        <f t="shared" si="20"/>
        <v>0</v>
      </c>
      <c r="AQ24" s="68">
        <f t="shared" si="21"/>
        <v>443</v>
      </c>
      <c r="AR24" s="59">
        <f t="shared" si="22"/>
        <v>0.54065972222222214</v>
      </c>
      <c r="AS24" s="75">
        <v>0.54078703703703701</v>
      </c>
      <c r="AT24" s="73">
        <f t="shared" si="23"/>
        <v>11</v>
      </c>
      <c r="AU24" s="74"/>
      <c r="AV24" s="119">
        <f t="shared" si="24"/>
        <v>11</v>
      </c>
      <c r="AW24" s="121"/>
      <c r="AX24" s="70">
        <v>0.55833333333333335</v>
      </c>
      <c r="AY24" s="72">
        <f t="shared" si="25"/>
        <v>0</v>
      </c>
      <c r="AZ24" s="68">
        <f t="shared" si="26"/>
        <v>478</v>
      </c>
      <c r="BA24" s="356">
        <v>700</v>
      </c>
      <c r="BB24" s="59">
        <f t="shared" si="27"/>
        <v>0.56643518518518521</v>
      </c>
      <c r="BC24" s="75">
        <v>0.56920138888888883</v>
      </c>
      <c r="BD24" s="73">
        <f t="shared" si="28"/>
        <v>239</v>
      </c>
      <c r="BE24" s="74"/>
      <c r="BF24" s="119">
        <f>IF(NOT(OR(ISBLANK(AX24),ISBLANK(BC24))),IF(BD24&lt;0,IF(-BD24&lt;=BA24-AZ24,0,ШтрафОпережениеНаРУ),BD24*ШтрафОтставаниеНаРУ)+IF(ISBLANK(BE24),0,ШтрафФальстартНаДС),ШтрафПропускДС)</f>
        <v>239</v>
      </c>
      <c r="BG24" s="121"/>
      <c r="BH24" s="70">
        <v>0.59097222222222223</v>
      </c>
      <c r="BI24" s="72">
        <f t="shared" si="30"/>
        <v>0</v>
      </c>
      <c r="BJ24" s="68">
        <f t="shared" si="31"/>
        <v>1393</v>
      </c>
      <c r="BK24" s="59">
        <f t="shared" si="32"/>
        <v>0.60709490740740746</v>
      </c>
      <c r="BL24" s="75">
        <v>0.61805555555555558</v>
      </c>
      <c r="BM24" s="73">
        <f t="shared" si="33"/>
        <v>947</v>
      </c>
      <c r="BN24" s="74"/>
      <c r="BO24" s="119">
        <f t="shared" si="49"/>
        <v>947</v>
      </c>
      <c r="BP24" s="121"/>
      <c r="BQ24" s="271">
        <v>0</v>
      </c>
      <c r="BR24" s="303">
        <f t="shared" si="35"/>
        <v>0</v>
      </c>
      <c r="BS24" s="304">
        <v>0</v>
      </c>
      <c r="BT24" s="175">
        <v>82.42</v>
      </c>
      <c r="BU24" s="305">
        <f t="shared" si="36"/>
        <v>82.4</v>
      </c>
      <c r="BV24" s="74"/>
      <c r="BW24" s="74">
        <v>2</v>
      </c>
      <c r="BX24" s="74"/>
      <c r="BY24" s="74"/>
      <c r="BZ24" s="119">
        <f t="shared" si="50"/>
        <v>102.4</v>
      </c>
      <c r="CA24" s="65" t="s">
        <v>527</v>
      </c>
      <c r="CB24" s="66" t="s">
        <v>519</v>
      </c>
      <c r="CC24" s="209">
        <v>1</v>
      </c>
      <c r="CD24" s="124">
        <f t="shared" si="38"/>
        <v>120</v>
      </c>
      <c r="CE24" s="210"/>
      <c r="CF24" s="124">
        <f t="shared" si="39"/>
        <v>0</v>
      </c>
      <c r="CI24" s="67" t="s">
        <v>237</v>
      </c>
      <c r="CJ24" s="118">
        <f>IF(NOT(ISBLANK(CI24)),0,ШтрафПропускКП)</f>
        <v>0</v>
      </c>
      <c r="CK24" s="76" t="e">
        <f>ROUNDDOWN(ВКВ1Расстояние/КВ3Скорость*60,0)</f>
        <v>#NAME?</v>
      </c>
      <c r="CL24" s="68" t="e">
        <f>ROUNDUP(CK24/10,0)</f>
        <v>#NAME?</v>
      </c>
      <c r="CM24" s="69" t="e">
        <f>IF(NOT(ISBLANK(R24)),R24+CK24/1440,Q24+CK24/1440)</f>
        <v>#NAME?</v>
      </c>
      <c r="CN24" s="77">
        <v>0.4916666666666667</v>
      </c>
      <c r="CO24" s="74"/>
      <c r="CP24" s="68" t="e">
        <f>ROUND((CN24-CM24)*1440,0)</f>
        <v>#NAME?</v>
      </c>
      <c r="CQ24" s="118" t="e">
        <f>IF(NOT(ISBLANK(CN24)),IF(CP24&gt;=0,0,IF(-CP24&lt;=CL24,0,-(CP24+CL24)*ШтрафОпережениеНаВКВ))+IF(NOT(ISBLANK(CO24)),ШтрафОтсутсвиеОтметкиНаВКВ,0),ШтрафПропускКВ)</f>
        <v>#NAME?</v>
      </c>
      <c r="CS24" s="380">
        <f t="shared" si="46"/>
        <v>1.0868055555555478E-2</v>
      </c>
      <c r="CW24" s="12">
        <f t="shared" si="47"/>
        <v>1140</v>
      </c>
    </row>
    <row r="25" spans="1:101" x14ac:dyDescent="0.25">
      <c r="A25" s="259">
        <f t="shared" si="51"/>
        <v>6</v>
      </c>
      <c r="B25" s="378">
        <v>22</v>
      </c>
      <c r="C25" s="359"/>
      <c r="D25" s="360" t="s">
        <v>128</v>
      </c>
      <c r="E25" s="361" t="s">
        <v>469</v>
      </c>
      <c r="F25" s="361" t="s">
        <v>129</v>
      </c>
      <c r="G25" s="361" t="s">
        <v>470</v>
      </c>
      <c r="H25" s="362" t="s">
        <v>27</v>
      </c>
      <c r="I25" s="213"/>
      <c r="J25" s="177">
        <f t="shared" si="0"/>
        <v>6678.5</v>
      </c>
      <c r="K25" s="123"/>
      <c r="L25" s="78"/>
      <c r="M25" s="67">
        <v>0.51527777777777795</v>
      </c>
      <c r="N25" s="118">
        <f t="shared" si="1"/>
        <v>0</v>
      </c>
      <c r="O25" s="76">
        <f t="shared" si="2"/>
        <v>60</v>
      </c>
      <c r="P25" s="122">
        <f t="shared" si="3"/>
        <v>0</v>
      </c>
      <c r="Q25" s="117">
        <f t="shared" si="4"/>
        <v>0.55694444444444458</v>
      </c>
      <c r="R25" s="176">
        <v>0.55625000000000002</v>
      </c>
      <c r="S25" s="68">
        <f t="shared" si="5"/>
        <v>-1</v>
      </c>
      <c r="T25" s="118">
        <f t="shared" si="6"/>
        <v>0</v>
      </c>
      <c r="U25" s="76">
        <f t="shared" si="7"/>
        <v>25</v>
      </c>
      <c r="V25" s="122">
        <v>0</v>
      </c>
      <c r="W25" s="117">
        <f t="shared" si="8"/>
        <v>0.57638888888888895</v>
      </c>
      <c r="X25" s="176">
        <v>0.5756944444444444</v>
      </c>
      <c r="Y25" s="68">
        <f t="shared" si="9"/>
        <v>-1</v>
      </c>
      <c r="Z25" s="118">
        <f t="shared" si="10"/>
        <v>0</v>
      </c>
      <c r="AA25" s="76">
        <f t="shared" si="11"/>
        <v>7</v>
      </c>
      <c r="AB25" s="122">
        <v>0</v>
      </c>
      <c r="AC25" s="117">
        <f t="shared" si="12"/>
        <v>0.58055555555555549</v>
      </c>
      <c r="AD25" s="176"/>
      <c r="AE25" s="68" t="str">
        <f t="shared" si="13"/>
        <v/>
      </c>
      <c r="AF25" s="118">
        <f t="shared" si="14"/>
        <v>1800</v>
      </c>
      <c r="AG25" s="76">
        <f t="shared" si="15"/>
        <v>70</v>
      </c>
      <c r="AH25" s="122">
        <v>0</v>
      </c>
      <c r="AI25" s="117">
        <f t="shared" si="16"/>
        <v>0.62916666666666665</v>
      </c>
      <c r="AJ25" s="68">
        <f t="shared" si="17"/>
        <v>7</v>
      </c>
      <c r="AK25" s="176">
        <v>0.65208333333333335</v>
      </c>
      <c r="AL25" s="68">
        <f t="shared" si="18"/>
        <v>33</v>
      </c>
      <c r="AM25" s="118">
        <f t="shared" si="19"/>
        <v>1980</v>
      </c>
      <c r="AN25" s="121"/>
      <c r="AO25" s="75">
        <v>0.54497685185185185</v>
      </c>
      <c r="AP25" s="72">
        <f t="shared" si="20"/>
        <v>0</v>
      </c>
      <c r="AQ25" s="68">
        <f t="shared" si="21"/>
        <v>443</v>
      </c>
      <c r="AR25" s="59">
        <f t="shared" si="22"/>
        <v>0.55010416666666662</v>
      </c>
      <c r="AS25" s="75">
        <v>0.54962962962962958</v>
      </c>
      <c r="AT25" s="73">
        <f t="shared" si="23"/>
        <v>-41</v>
      </c>
      <c r="AU25" s="74"/>
      <c r="AV25" s="119">
        <f t="shared" si="24"/>
        <v>41</v>
      </c>
      <c r="AW25" s="121"/>
      <c r="AX25" s="70">
        <v>0.55902777777777779</v>
      </c>
      <c r="AY25" s="72">
        <f t="shared" si="25"/>
        <v>0</v>
      </c>
      <c r="AZ25" s="68">
        <f t="shared" si="26"/>
        <v>478</v>
      </c>
      <c r="BA25" s="356">
        <v>700</v>
      </c>
      <c r="BB25" s="59">
        <f t="shared" si="27"/>
        <v>0.56712962962962965</v>
      </c>
      <c r="BC25" s="75">
        <v>0.56717592592592592</v>
      </c>
      <c r="BD25" s="73">
        <f t="shared" si="28"/>
        <v>4</v>
      </c>
      <c r="BE25" s="74"/>
      <c r="BF25" s="119">
        <f>IF(NOT(OR(ISBLANK(AX25),ISBLANK(BC25))),IF(BD25&lt;0,IF(-BD25&lt;=BA25-AZ25,0,ШтрафОпережениеНаРУ),BD25*ШтрафОтставаниеНаРУ)+IF(ISBLANK(BE25),0,ШтрафФальстартНаДС),ШтрафПропускДС)</f>
        <v>4</v>
      </c>
      <c r="BG25" s="121"/>
      <c r="BH25" s="70"/>
      <c r="BI25" s="72">
        <f t="shared" si="30"/>
        <v>0</v>
      </c>
      <c r="BJ25" s="68">
        <f t="shared" si="31"/>
        <v>1393</v>
      </c>
      <c r="BK25" s="59">
        <f t="shared" si="32"/>
        <v>1.6122685185185184E-2</v>
      </c>
      <c r="BL25" s="75">
        <v>0.61481481481481481</v>
      </c>
      <c r="BM25" s="73">
        <f t="shared" si="33"/>
        <v>51727</v>
      </c>
      <c r="BN25" s="74"/>
      <c r="BO25" s="119">
        <f t="shared" si="49"/>
        <v>1800</v>
      </c>
      <c r="BP25" s="121"/>
      <c r="BQ25" s="271">
        <v>0</v>
      </c>
      <c r="BR25" s="303">
        <f t="shared" si="35"/>
        <v>0</v>
      </c>
      <c r="BS25" s="304">
        <v>0</v>
      </c>
      <c r="BT25" s="175">
        <v>53.52</v>
      </c>
      <c r="BU25" s="305">
        <f t="shared" si="36"/>
        <v>53.5</v>
      </c>
      <c r="BV25" s="74"/>
      <c r="BW25" s="74"/>
      <c r="BX25" s="74"/>
      <c r="BY25" s="74"/>
      <c r="BZ25" s="119">
        <f t="shared" si="50"/>
        <v>53.5</v>
      </c>
      <c r="CA25" s="65" t="s">
        <v>519</v>
      </c>
      <c r="CB25" s="66" t="s">
        <v>519</v>
      </c>
      <c r="CC25" s="209">
        <v>0</v>
      </c>
      <c r="CD25" s="124">
        <f t="shared" si="38"/>
        <v>0</v>
      </c>
      <c r="CE25" s="210">
        <v>1</v>
      </c>
      <c r="CF25" s="124">
        <f t="shared" si="39"/>
        <v>1000</v>
      </c>
      <c r="CI25" s="67" t="s">
        <v>237</v>
      </c>
      <c r="CJ25" s="118">
        <f>IF(NOT(ISBLANK(CI25)),0,ШтрафПропускКП)</f>
        <v>0</v>
      </c>
      <c r="CK25" s="76" t="e">
        <f>ROUNDDOWN(ВКВ1Расстояние/КВ3Скорость*60,0)</f>
        <v>#NAME?</v>
      </c>
      <c r="CL25" s="68" t="e">
        <f>ROUNDUP(CK25/10,0)</f>
        <v>#NAME?</v>
      </c>
      <c r="CM25" s="69" t="e">
        <f>IF(NOT(ISBLANK(R25)),R25+CK25/1440,Q25+CK25/1440)</f>
        <v>#NAME?</v>
      </c>
      <c r="CN25" s="77">
        <v>0.4916666666666667</v>
      </c>
      <c r="CO25" s="74"/>
      <c r="CP25" s="68" t="e">
        <f>ROUND((CN25-CM25)*1440,0)</f>
        <v>#NAME?</v>
      </c>
      <c r="CQ25" s="118" t="e">
        <f>IF(NOT(ISBLANK(CN25)),IF(CP25&gt;=0,0,IF(-CP25&lt;=CL25,0,-(CP25+CL25)*ШтрафОпережениеНаВКВ))+IF(NOT(ISBLANK(CO25)),ШтрафОтсутсвиеОтметкиНаВКВ,0),ШтрафПропускКВ)</f>
        <v>#NAME?</v>
      </c>
      <c r="CS25" s="380">
        <f t="shared" si="46"/>
        <v>8.1481481481481266E-3</v>
      </c>
      <c r="CW25" s="12">
        <f t="shared" si="47"/>
        <v>1800</v>
      </c>
    </row>
    <row r="26" spans="1:101" x14ac:dyDescent="0.25">
      <c r="R26" s="12">
        <f>COUNT(R5:R25)</f>
        <v>21</v>
      </c>
      <c r="X26" s="12">
        <f>COUNT(X5:X25)</f>
        <v>19</v>
      </c>
      <c r="AD26" s="12">
        <f>COUNT(AD5:AD25)</f>
        <v>17</v>
      </c>
      <c r="AK26" s="12">
        <f>COUNT(AK5:AK25)</f>
        <v>21</v>
      </c>
      <c r="AO26" s="12">
        <f>COUNT(AO5:AO25)</f>
        <v>21</v>
      </c>
      <c r="AX26" s="12">
        <f>COUNT(AX5:AX25)</f>
        <v>21</v>
      </c>
      <c r="BC26" s="12">
        <f>COUNT(BC5:BC25)</f>
        <v>20</v>
      </c>
      <c r="BH26" s="12">
        <f>COUNT(BH5:BH25)</f>
        <v>17</v>
      </c>
      <c r="BL26" s="12">
        <f>COUNT(BL5:BL25)</f>
        <v>18</v>
      </c>
      <c r="CC26" s="12">
        <f>COUNT(CC5:CC25)</f>
        <v>21</v>
      </c>
      <c r="CE26" s="12">
        <f>COUNT(CE5:CE25)</f>
        <v>2</v>
      </c>
    </row>
  </sheetData>
  <sortState ref="A5:CF25">
    <sortCondition ref="H5:H25"/>
    <sortCondition ref="J5:J25"/>
  </sortState>
  <mergeCells count="20">
    <mergeCell ref="AI3:AM3"/>
    <mergeCell ref="D1:H1"/>
    <mergeCell ref="D3:J3"/>
    <mergeCell ref="K3:L3"/>
    <mergeCell ref="M3:N3"/>
    <mergeCell ref="O3:P3"/>
    <mergeCell ref="Q3:T3"/>
    <mergeCell ref="U3:V3"/>
    <mergeCell ref="W3:Z3"/>
    <mergeCell ref="AA3:AB3"/>
    <mergeCell ref="AC3:AF3"/>
    <mergeCell ref="AG3:AH3"/>
    <mergeCell ref="CI3:CJ3"/>
    <mergeCell ref="CK3:CQ3"/>
    <mergeCell ref="AN3:AV3"/>
    <mergeCell ref="AW3:BF3"/>
    <mergeCell ref="BG3:BO3"/>
    <mergeCell ref="BP3:BZ3"/>
    <mergeCell ref="CA3:CD3"/>
    <mergeCell ref="CE3:CF3"/>
  </mergeCells>
  <pageMargins left="0.39370078740157483" right="0.39370078740157483" top="0.39370078740157483" bottom="0.39370078740157483" header="0" footer="0"/>
  <pageSetup paperSize="9" orientation="landscape" r:id="rId1"/>
  <colBreaks count="5" manualBreakCount="5">
    <brk id="12" max="24" man="1"/>
    <brk id="28" max="24" man="1"/>
    <brk id="39" max="24" man="1"/>
    <brk id="58" max="24" man="1"/>
    <brk id="78" max="2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"/>
  <sheetViews>
    <sheetView view="pageBreakPreview" zoomScale="115" zoomScaleNormal="100" zoomScaleSheetLayoutView="115" workbookViewId="0">
      <selection sqref="A1:A2"/>
    </sheetView>
  </sheetViews>
  <sheetFormatPr defaultRowHeight="15" x14ac:dyDescent="0.25"/>
  <cols>
    <col min="1" max="1" width="9.140625" style="363"/>
    <col min="2" max="2" width="34.140625" customWidth="1"/>
    <col min="3" max="3" width="15.5703125" style="12" customWidth="1"/>
    <col min="4" max="5" width="8.5703125" style="363" customWidth="1"/>
    <col min="6" max="6" width="8.5703125" customWidth="1"/>
  </cols>
  <sheetData>
    <row r="1" spans="1:6" s="12" customFormat="1" x14ac:dyDescent="0.25">
      <c r="A1" s="432" t="s">
        <v>124</v>
      </c>
      <c r="B1" s="432" t="s">
        <v>500</v>
      </c>
      <c r="C1" s="432" t="s">
        <v>510</v>
      </c>
      <c r="D1" s="432" t="s">
        <v>501</v>
      </c>
      <c r="E1" s="432"/>
      <c r="F1" s="432" t="s">
        <v>504</v>
      </c>
    </row>
    <row r="2" spans="1:6" s="363" customFormat="1" x14ac:dyDescent="0.25">
      <c r="A2" s="432"/>
      <c r="B2" s="432"/>
      <c r="C2" s="432"/>
      <c r="D2" s="365" t="s">
        <v>44</v>
      </c>
      <c r="E2" s="365" t="s">
        <v>503</v>
      </c>
      <c r="F2" s="432"/>
    </row>
    <row r="3" spans="1:6" x14ac:dyDescent="0.25">
      <c r="A3" s="364">
        <v>1</v>
      </c>
      <c r="B3" s="289" t="s">
        <v>502</v>
      </c>
      <c r="C3" s="289"/>
      <c r="D3" s="366">
        <v>0.52083333333333337</v>
      </c>
      <c r="E3" s="366">
        <v>0.54652777777777783</v>
      </c>
      <c r="F3" s="364">
        <v>3</v>
      </c>
    </row>
    <row r="4" spans="1:6" x14ac:dyDescent="0.25">
      <c r="A4" s="364">
        <v>2</v>
      </c>
      <c r="B4" s="289" t="s">
        <v>509</v>
      </c>
      <c r="C4" s="289"/>
      <c r="D4" s="366">
        <v>0.61458333333333337</v>
      </c>
      <c r="E4" s="364"/>
      <c r="F4" s="364"/>
    </row>
    <row r="5" spans="1:6" x14ac:dyDescent="0.25">
      <c r="A5" s="364">
        <v>3</v>
      </c>
      <c r="B5" s="289" t="s">
        <v>511</v>
      </c>
      <c r="C5" s="289"/>
      <c r="D5" s="366">
        <v>0.62152777777777779</v>
      </c>
      <c r="E5" s="366">
        <v>0.64930555555555558</v>
      </c>
      <c r="F5" s="364">
        <v>3</v>
      </c>
    </row>
    <row r="6" spans="1:6" x14ac:dyDescent="0.25">
      <c r="A6" s="364">
        <v>4</v>
      </c>
      <c r="B6" s="289" t="s">
        <v>74</v>
      </c>
      <c r="C6" s="289"/>
      <c r="D6" s="366"/>
      <c r="E6" s="364"/>
      <c r="F6" s="364"/>
    </row>
    <row r="7" spans="1:6" x14ac:dyDescent="0.25">
      <c r="A7" s="364">
        <v>5</v>
      </c>
      <c r="B7" s="289" t="s">
        <v>512</v>
      </c>
      <c r="C7" s="289"/>
      <c r="D7" s="364"/>
      <c r="E7" s="364"/>
      <c r="F7" s="364"/>
    </row>
    <row r="8" spans="1:6" x14ac:dyDescent="0.25">
      <c r="A8" s="364">
        <v>6</v>
      </c>
      <c r="B8" s="289" t="s">
        <v>40</v>
      </c>
      <c r="C8" s="289"/>
      <c r="D8" s="366">
        <v>0.64930555555555558</v>
      </c>
      <c r="E8" s="364"/>
      <c r="F8" s="364"/>
    </row>
    <row r="9" spans="1:6" x14ac:dyDescent="0.25">
      <c r="A9" s="364">
        <v>7</v>
      </c>
      <c r="B9" s="289" t="s">
        <v>513</v>
      </c>
      <c r="C9" s="289"/>
      <c r="D9" s="366">
        <v>0.65277777777777779</v>
      </c>
      <c r="E9" s="364"/>
      <c r="F9" s="364"/>
    </row>
    <row r="10" spans="1:6" x14ac:dyDescent="0.25">
      <c r="A10" s="364">
        <v>8</v>
      </c>
      <c r="B10" s="289" t="s">
        <v>514</v>
      </c>
      <c r="C10" s="289"/>
      <c r="D10" s="364"/>
      <c r="E10" s="364"/>
      <c r="F10" s="364"/>
    </row>
    <row r="11" spans="1:6" x14ac:dyDescent="0.25">
      <c r="A11" s="364">
        <v>9</v>
      </c>
      <c r="B11" s="289" t="s">
        <v>515</v>
      </c>
      <c r="C11" s="289"/>
      <c r="D11" s="366">
        <v>0.65625</v>
      </c>
      <c r="E11" s="364"/>
      <c r="F11" s="364"/>
    </row>
    <row r="12" spans="1:6" x14ac:dyDescent="0.25">
      <c r="A12" s="364">
        <v>10</v>
      </c>
      <c r="B12" s="289" t="s">
        <v>454</v>
      </c>
      <c r="C12" s="289"/>
      <c r="D12" s="366">
        <v>0.65625</v>
      </c>
      <c r="E12" s="364"/>
      <c r="F12" s="364"/>
    </row>
    <row r="13" spans="1:6" x14ac:dyDescent="0.25">
      <c r="A13" s="364">
        <v>11</v>
      </c>
      <c r="B13" s="289" t="s">
        <v>516</v>
      </c>
      <c r="C13" s="289"/>
      <c r="D13" s="366">
        <v>0.65625</v>
      </c>
      <c r="E13" s="364"/>
      <c r="F13" s="364"/>
    </row>
    <row r="14" spans="1:6" x14ac:dyDescent="0.25">
      <c r="A14" s="364">
        <v>12</v>
      </c>
      <c r="B14" s="289" t="s">
        <v>517</v>
      </c>
      <c r="C14" s="289"/>
      <c r="D14" s="366">
        <v>0.66319444444444442</v>
      </c>
      <c r="E14" s="364"/>
      <c r="F14" s="364"/>
    </row>
    <row r="15" spans="1:6" x14ac:dyDescent="0.25">
      <c r="A15" s="364">
        <v>13</v>
      </c>
      <c r="B15" s="289" t="s">
        <v>520</v>
      </c>
      <c r="C15" s="289"/>
      <c r="D15" s="366">
        <v>0.65972222222222221</v>
      </c>
      <c r="E15" s="364"/>
      <c r="F15" s="364"/>
    </row>
    <row r="16" spans="1:6" x14ac:dyDescent="0.25">
      <c r="A16" s="364">
        <v>14</v>
      </c>
      <c r="B16" s="289"/>
      <c r="C16" s="289"/>
      <c r="D16" s="364"/>
      <c r="E16" s="364"/>
      <c r="F16" s="364"/>
    </row>
    <row r="17" spans="1:6" x14ac:dyDescent="0.25">
      <c r="A17" s="364">
        <v>15</v>
      </c>
      <c r="B17" s="289"/>
      <c r="C17" s="289"/>
      <c r="D17" s="364"/>
      <c r="E17" s="364"/>
      <c r="F17" s="364"/>
    </row>
    <row r="18" spans="1:6" x14ac:dyDescent="0.25">
      <c r="A18" s="364">
        <v>16</v>
      </c>
      <c r="B18" s="289"/>
      <c r="C18" s="289"/>
      <c r="D18" s="364"/>
      <c r="E18" s="364"/>
      <c r="F18" s="364"/>
    </row>
    <row r="19" spans="1:6" x14ac:dyDescent="0.25">
      <c r="A19" s="364">
        <v>17</v>
      </c>
      <c r="B19" s="289"/>
      <c r="C19" s="289"/>
      <c r="D19" s="364"/>
      <c r="E19" s="364"/>
      <c r="F19" s="289"/>
    </row>
    <row r="20" spans="1:6" x14ac:dyDescent="0.25">
      <c r="A20" s="364">
        <v>18</v>
      </c>
      <c r="B20" s="289"/>
      <c r="C20" s="289"/>
      <c r="D20" s="364"/>
      <c r="E20" s="364"/>
      <c r="F20" s="289"/>
    </row>
    <row r="21" spans="1:6" x14ac:dyDescent="0.25">
      <c r="A21" s="364">
        <v>19</v>
      </c>
      <c r="B21" s="289"/>
      <c r="C21" s="289"/>
      <c r="D21" s="364"/>
      <c r="E21" s="364"/>
      <c r="F21" s="289"/>
    </row>
    <row r="22" spans="1:6" x14ac:dyDescent="0.25">
      <c r="A22" s="364">
        <v>20</v>
      </c>
      <c r="B22" s="289"/>
      <c r="C22" s="289"/>
      <c r="D22" s="364"/>
      <c r="E22" s="364"/>
      <c r="F22" s="289"/>
    </row>
    <row r="23" spans="1:6" x14ac:dyDescent="0.25">
      <c r="A23" s="364">
        <v>21</v>
      </c>
      <c r="B23" s="289"/>
      <c r="C23" s="289"/>
      <c r="D23" s="364"/>
      <c r="E23" s="364"/>
      <c r="F23" s="289"/>
    </row>
    <row r="24" spans="1:6" x14ac:dyDescent="0.25">
      <c r="A24" s="364">
        <v>22</v>
      </c>
      <c r="B24" s="289"/>
      <c r="C24" s="289"/>
      <c r="D24" s="364"/>
      <c r="E24" s="364"/>
      <c r="F24" s="289"/>
    </row>
    <row r="25" spans="1:6" x14ac:dyDescent="0.25">
      <c r="A25" s="364">
        <v>23</v>
      </c>
      <c r="B25" s="289"/>
      <c r="C25" s="289"/>
      <c r="D25" s="364"/>
      <c r="E25" s="364"/>
      <c r="F25" s="289"/>
    </row>
    <row r="26" spans="1:6" x14ac:dyDescent="0.25">
      <c r="A26" s="364">
        <v>24</v>
      </c>
      <c r="B26" s="289"/>
      <c r="C26" s="289"/>
      <c r="D26" s="364"/>
      <c r="E26" s="364"/>
      <c r="F26" s="289"/>
    </row>
    <row r="27" spans="1:6" x14ac:dyDescent="0.25">
      <c r="A27" s="364">
        <v>25</v>
      </c>
      <c r="B27" s="289"/>
      <c r="C27" s="289"/>
      <c r="D27" s="364"/>
      <c r="E27" s="364"/>
      <c r="F27" s="289"/>
    </row>
    <row r="28" spans="1:6" x14ac:dyDescent="0.25">
      <c r="A28" s="364">
        <v>26</v>
      </c>
      <c r="B28" s="289"/>
      <c r="C28" s="289"/>
      <c r="D28" s="364"/>
      <c r="E28" s="364"/>
      <c r="F28" s="289"/>
    </row>
    <row r="29" spans="1:6" x14ac:dyDescent="0.25">
      <c r="A29" s="364">
        <v>27</v>
      </c>
      <c r="B29" s="289"/>
      <c r="C29" s="289"/>
      <c r="D29" s="364"/>
      <c r="E29" s="364"/>
      <c r="F29" s="289"/>
    </row>
    <row r="30" spans="1:6" x14ac:dyDescent="0.25">
      <c r="A30" s="364">
        <v>28</v>
      </c>
      <c r="B30" s="289"/>
      <c r="C30" s="289"/>
      <c r="D30" s="364"/>
      <c r="E30" s="364"/>
      <c r="F30" s="289"/>
    </row>
    <row r="31" spans="1:6" x14ac:dyDescent="0.25">
      <c r="A31" s="364">
        <v>29</v>
      </c>
      <c r="B31" s="289"/>
      <c r="C31" s="289"/>
      <c r="D31" s="364"/>
      <c r="E31" s="364"/>
      <c r="F31" s="289"/>
    </row>
    <row r="32" spans="1:6" x14ac:dyDescent="0.25">
      <c r="A32" s="364">
        <v>30</v>
      </c>
      <c r="B32" s="289"/>
      <c r="C32" s="289"/>
      <c r="D32" s="364"/>
      <c r="E32" s="364"/>
      <c r="F32" s="289"/>
    </row>
    <row r="33" spans="1:6" x14ac:dyDescent="0.25">
      <c r="A33" s="364">
        <v>31</v>
      </c>
      <c r="B33" s="289"/>
      <c r="C33" s="289"/>
      <c r="D33" s="364"/>
      <c r="E33" s="364"/>
      <c r="F33" s="289"/>
    </row>
    <row r="34" spans="1:6" x14ac:dyDescent="0.25">
      <c r="A34" s="364">
        <v>32</v>
      </c>
      <c r="B34" s="289"/>
      <c r="C34" s="289"/>
      <c r="D34" s="364"/>
      <c r="E34" s="364"/>
      <c r="F34" s="289"/>
    </row>
    <row r="35" spans="1:6" x14ac:dyDescent="0.25">
      <c r="A35" s="364">
        <v>33</v>
      </c>
      <c r="B35" s="289"/>
      <c r="C35" s="289"/>
      <c r="D35" s="364"/>
      <c r="E35" s="364"/>
      <c r="F35" s="289"/>
    </row>
    <row r="36" spans="1:6" x14ac:dyDescent="0.25">
      <c r="A36" s="364">
        <v>34</v>
      </c>
      <c r="B36" s="289"/>
      <c r="C36" s="289"/>
      <c r="D36" s="364"/>
      <c r="E36" s="364"/>
      <c r="F36" s="289"/>
    </row>
    <row r="37" spans="1:6" x14ac:dyDescent="0.25">
      <c r="A37" s="364">
        <v>35</v>
      </c>
      <c r="B37" s="289"/>
      <c r="C37" s="289"/>
      <c r="D37" s="364"/>
      <c r="E37" s="364"/>
      <c r="F37" s="289"/>
    </row>
    <row r="38" spans="1:6" x14ac:dyDescent="0.25">
      <c r="A38" s="364">
        <v>36</v>
      </c>
      <c r="B38" s="289"/>
      <c r="C38" s="289"/>
      <c r="D38" s="364"/>
      <c r="E38" s="364"/>
      <c r="F38" s="289"/>
    </row>
    <row r="39" spans="1:6" x14ac:dyDescent="0.25">
      <c r="A39" s="364">
        <v>37</v>
      </c>
      <c r="B39" s="289"/>
      <c r="C39" s="289"/>
      <c r="D39" s="364"/>
      <c r="E39" s="364"/>
      <c r="F39" s="289"/>
    </row>
    <row r="40" spans="1:6" x14ac:dyDescent="0.25">
      <c r="A40" s="364">
        <v>38</v>
      </c>
      <c r="B40" s="289"/>
      <c r="C40" s="289"/>
      <c r="D40" s="364"/>
      <c r="E40" s="364"/>
      <c r="F40" s="289"/>
    </row>
    <row r="41" spans="1:6" x14ac:dyDescent="0.25">
      <c r="A41" s="364">
        <v>39</v>
      </c>
      <c r="B41" s="289"/>
      <c r="C41" s="289"/>
      <c r="D41" s="364"/>
      <c r="E41" s="364"/>
      <c r="F41" s="289"/>
    </row>
    <row r="42" spans="1:6" x14ac:dyDescent="0.25">
      <c r="A42" s="364">
        <v>40</v>
      </c>
      <c r="B42" s="289"/>
      <c r="C42" s="289"/>
      <c r="D42" s="364"/>
      <c r="E42" s="364"/>
      <c r="F42" s="289"/>
    </row>
    <row r="43" spans="1:6" x14ac:dyDescent="0.25">
      <c r="A43" s="364">
        <v>41</v>
      </c>
      <c r="B43" s="289"/>
      <c r="C43" s="289"/>
      <c r="D43" s="364"/>
      <c r="E43" s="364"/>
      <c r="F43" s="289"/>
    </row>
    <row r="44" spans="1:6" x14ac:dyDescent="0.25">
      <c r="A44" s="364">
        <v>42</v>
      </c>
      <c r="B44" s="289"/>
      <c r="C44" s="289"/>
      <c r="D44" s="364"/>
      <c r="E44" s="364"/>
      <c r="F44" s="289"/>
    </row>
  </sheetData>
  <mergeCells count="5">
    <mergeCell ref="B1:B2"/>
    <mergeCell ref="A1:A2"/>
    <mergeCell ref="D1:E1"/>
    <mergeCell ref="F1:F2"/>
    <mergeCell ref="C1:C2"/>
  </mergeCells>
  <pageMargins left="0.70866141732283472" right="0.70866141732283472" top="0.74803149606299213" bottom="0.74803149606299213" header="0.31496062992125984" footer="0.31496062992125984"/>
  <pageSetup paperSize="9" scale="125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"/>
  <sheetViews>
    <sheetView zoomScaleNormal="100" workbookViewId="0"/>
  </sheetViews>
  <sheetFormatPr defaultRowHeight="15" x14ac:dyDescent="0.25"/>
  <cols>
    <col min="1" max="2" width="9.140625" style="12"/>
    <col min="3" max="3" width="21.5703125" style="12" customWidth="1"/>
    <col min="4" max="6" width="25.7109375" style="12" customWidth="1"/>
    <col min="7" max="7" width="8.7109375" style="12" customWidth="1"/>
    <col min="8" max="8" width="9.140625" style="12" customWidth="1"/>
    <col min="9" max="166" width="9.140625" style="12"/>
    <col min="167" max="167" width="18.7109375" style="12" customWidth="1"/>
    <col min="168" max="168" width="18.140625" style="12" customWidth="1"/>
    <col min="169" max="169" width="8.7109375" style="12" customWidth="1"/>
    <col min="170" max="170" width="9.140625" style="12"/>
    <col min="171" max="171" width="9.140625" style="12" customWidth="1"/>
    <col min="172" max="172" width="27.28515625" style="12" customWidth="1"/>
    <col min="173" max="208" width="9.140625" style="12" customWidth="1"/>
    <col min="209" max="422" width="9.140625" style="12"/>
    <col min="423" max="423" width="18.7109375" style="12" customWidth="1"/>
    <col min="424" max="424" width="18.140625" style="12" customWidth="1"/>
    <col min="425" max="425" width="8.7109375" style="12" customWidth="1"/>
    <col min="426" max="426" width="9.140625" style="12"/>
    <col min="427" max="427" width="9.140625" style="12" customWidth="1"/>
    <col min="428" max="428" width="27.28515625" style="12" customWidth="1"/>
    <col min="429" max="464" width="9.140625" style="12" customWidth="1"/>
    <col min="465" max="678" width="9.140625" style="12"/>
    <col min="679" max="679" width="18.7109375" style="12" customWidth="1"/>
    <col min="680" max="680" width="18.140625" style="12" customWidth="1"/>
    <col min="681" max="681" width="8.7109375" style="12" customWidth="1"/>
    <col min="682" max="682" width="9.140625" style="12"/>
    <col min="683" max="683" width="9.140625" style="12" customWidth="1"/>
    <col min="684" max="684" width="27.28515625" style="12" customWidth="1"/>
    <col min="685" max="720" width="9.140625" style="12" customWidth="1"/>
    <col min="721" max="934" width="9.140625" style="12"/>
    <col min="935" max="935" width="18.7109375" style="12" customWidth="1"/>
    <col min="936" max="936" width="18.140625" style="12" customWidth="1"/>
    <col min="937" max="937" width="8.7109375" style="12" customWidth="1"/>
    <col min="938" max="938" width="9.140625" style="12"/>
    <col min="939" max="939" width="9.140625" style="12" customWidth="1"/>
    <col min="940" max="940" width="27.28515625" style="12" customWidth="1"/>
    <col min="941" max="976" width="9.140625" style="12" customWidth="1"/>
    <col min="977" max="1190" width="9.140625" style="12"/>
    <col min="1191" max="1191" width="18.7109375" style="12" customWidth="1"/>
    <col min="1192" max="1192" width="18.140625" style="12" customWidth="1"/>
    <col min="1193" max="1193" width="8.7109375" style="12" customWidth="1"/>
    <col min="1194" max="1194" width="9.140625" style="12"/>
    <col min="1195" max="1195" width="9.140625" style="12" customWidth="1"/>
    <col min="1196" max="1196" width="27.28515625" style="12" customWidth="1"/>
    <col min="1197" max="1232" width="9.140625" style="12" customWidth="1"/>
    <col min="1233" max="1446" width="9.140625" style="12"/>
    <col min="1447" max="1447" width="18.7109375" style="12" customWidth="1"/>
    <col min="1448" max="1448" width="18.140625" style="12" customWidth="1"/>
    <col min="1449" max="1449" width="8.7109375" style="12" customWidth="1"/>
    <col min="1450" max="1450" width="9.140625" style="12"/>
    <col min="1451" max="1451" width="9.140625" style="12" customWidth="1"/>
    <col min="1452" max="1452" width="27.28515625" style="12" customWidth="1"/>
    <col min="1453" max="1488" width="9.140625" style="12" customWidth="1"/>
    <col min="1489" max="1702" width="9.140625" style="12"/>
    <col min="1703" max="1703" width="18.7109375" style="12" customWidth="1"/>
    <col min="1704" max="1704" width="18.140625" style="12" customWidth="1"/>
    <col min="1705" max="1705" width="8.7109375" style="12" customWidth="1"/>
    <col min="1706" max="1706" width="9.140625" style="12"/>
    <col min="1707" max="1707" width="9.140625" style="12" customWidth="1"/>
    <col min="1708" max="1708" width="27.28515625" style="12" customWidth="1"/>
    <col min="1709" max="1744" width="9.140625" style="12" customWidth="1"/>
    <col min="1745" max="1958" width="9.140625" style="12"/>
    <col min="1959" max="1959" width="18.7109375" style="12" customWidth="1"/>
    <col min="1960" max="1960" width="18.140625" style="12" customWidth="1"/>
    <col min="1961" max="1961" width="8.7109375" style="12" customWidth="1"/>
    <col min="1962" max="1962" width="9.140625" style="12"/>
    <col min="1963" max="1963" width="9.140625" style="12" customWidth="1"/>
    <col min="1964" max="1964" width="27.28515625" style="12" customWidth="1"/>
    <col min="1965" max="2000" width="9.140625" style="12" customWidth="1"/>
    <col min="2001" max="2214" width="9.140625" style="12"/>
    <col min="2215" max="2215" width="18.7109375" style="12" customWidth="1"/>
    <col min="2216" max="2216" width="18.140625" style="12" customWidth="1"/>
    <col min="2217" max="2217" width="8.7109375" style="12" customWidth="1"/>
    <col min="2218" max="2218" width="9.140625" style="12"/>
    <col min="2219" max="2219" width="9.140625" style="12" customWidth="1"/>
    <col min="2220" max="2220" width="27.28515625" style="12" customWidth="1"/>
    <col min="2221" max="2256" width="9.140625" style="12" customWidth="1"/>
    <col min="2257" max="2470" width="9.140625" style="12"/>
    <col min="2471" max="2471" width="18.7109375" style="12" customWidth="1"/>
    <col min="2472" max="2472" width="18.140625" style="12" customWidth="1"/>
    <col min="2473" max="2473" width="8.7109375" style="12" customWidth="1"/>
    <col min="2474" max="2474" width="9.140625" style="12"/>
    <col min="2475" max="2475" width="9.140625" style="12" customWidth="1"/>
    <col min="2476" max="2476" width="27.28515625" style="12" customWidth="1"/>
    <col min="2477" max="2512" width="9.140625" style="12" customWidth="1"/>
    <col min="2513" max="2726" width="9.140625" style="12"/>
    <col min="2727" max="2727" width="18.7109375" style="12" customWidth="1"/>
    <col min="2728" max="2728" width="18.140625" style="12" customWidth="1"/>
    <col min="2729" max="2729" width="8.7109375" style="12" customWidth="1"/>
    <col min="2730" max="2730" width="9.140625" style="12"/>
    <col min="2731" max="2731" width="9.140625" style="12" customWidth="1"/>
    <col min="2732" max="2732" width="27.28515625" style="12" customWidth="1"/>
    <col min="2733" max="2768" width="9.140625" style="12" customWidth="1"/>
    <col min="2769" max="2982" width="9.140625" style="12"/>
    <col min="2983" max="2983" width="18.7109375" style="12" customWidth="1"/>
    <col min="2984" max="2984" width="18.140625" style="12" customWidth="1"/>
    <col min="2985" max="2985" width="8.7109375" style="12" customWidth="1"/>
    <col min="2986" max="2986" width="9.140625" style="12"/>
    <col min="2987" max="2987" width="9.140625" style="12" customWidth="1"/>
    <col min="2988" max="2988" width="27.28515625" style="12" customWidth="1"/>
    <col min="2989" max="3024" width="9.140625" style="12" customWidth="1"/>
    <col min="3025" max="3238" width="9.140625" style="12"/>
    <col min="3239" max="3239" width="18.7109375" style="12" customWidth="1"/>
    <col min="3240" max="3240" width="18.140625" style="12" customWidth="1"/>
    <col min="3241" max="3241" width="8.7109375" style="12" customWidth="1"/>
    <col min="3242" max="3242" width="9.140625" style="12"/>
    <col min="3243" max="3243" width="9.140625" style="12" customWidth="1"/>
    <col min="3244" max="3244" width="27.28515625" style="12" customWidth="1"/>
    <col min="3245" max="3280" width="9.140625" style="12" customWidth="1"/>
    <col min="3281" max="3494" width="9.140625" style="12"/>
    <col min="3495" max="3495" width="18.7109375" style="12" customWidth="1"/>
    <col min="3496" max="3496" width="18.140625" style="12" customWidth="1"/>
    <col min="3497" max="3497" width="8.7109375" style="12" customWidth="1"/>
    <col min="3498" max="3498" width="9.140625" style="12"/>
    <col min="3499" max="3499" width="9.140625" style="12" customWidth="1"/>
    <col min="3500" max="3500" width="27.28515625" style="12" customWidth="1"/>
    <col min="3501" max="3536" width="9.140625" style="12" customWidth="1"/>
    <col min="3537" max="3750" width="9.140625" style="12"/>
    <col min="3751" max="3751" width="18.7109375" style="12" customWidth="1"/>
    <col min="3752" max="3752" width="18.140625" style="12" customWidth="1"/>
    <col min="3753" max="3753" width="8.7109375" style="12" customWidth="1"/>
    <col min="3754" max="3754" width="9.140625" style="12"/>
    <col min="3755" max="3755" width="9.140625" style="12" customWidth="1"/>
    <col min="3756" max="3756" width="27.28515625" style="12" customWidth="1"/>
    <col min="3757" max="3792" width="9.140625" style="12" customWidth="1"/>
    <col min="3793" max="4006" width="9.140625" style="12"/>
    <col min="4007" max="4007" width="18.7109375" style="12" customWidth="1"/>
    <col min="4008" max="4008" width="18.140625" style="12" customWidth="1"/>
    <col min="4009" max="4009" width="8.7109375" style="12" customWidth="1"/>
    <col min="4010" max="4010" width="9.140625" style="12"/>
    <col min="4011" max="4011" width="9.140625" style="12" customWidth="1"/>
    <col min="4012" max="4012" width="27.28515625" style="12" customWidth="1"/>
    <col min="4013" max="4048" width="9.140625" style="12" customWidth="1"/>
    <col min="4049" max="4262" width="9.140625" style="12"/>
    <col min="4263" max="4263" width="18.7109375" style="12" customWidth="1"/>
    <col min="4264" max="4264" width="18.140625" style="12" customWidth="1"/>
    <col min="4265" max="4265" width="8.7109375" style="12" customWidth="1"/>
    <col min="4266" max="4266" width="9.140625" style="12"/>
    <col min="4267" max="4267" width="9.140625" style="12" customWidth="1"/>
    <col min="4268" max="4268" width="27.28515625" style="12" customWidth="1"/>
    <col min="4269" max="4304" width="9.140625" style="12" customWidth="1"/>
    <col min="4305" max="4518" width="9.140625" style="12"/>
    <col min="4519" max="4519" width="18.7109375" style="12" customWidth="1"/>
    <col min="4520" max="4520" width="18.140625" style="12" customWidth="1"/>
    <col min="4521" max="4521" width="8.7109375" style="12" customWidth="1"/>
    <col min="4522" max="4522" width="9.140625" style="12"/>
    <col min="4523" max="4523" width="9.140625" style="12" customWidth="1"/>
    <col min="4524" max="4524" width="27.28515625" style="12" customWidth="1"/>
    <col min="4525" max="4560" width="9.140625" style="12" customWidth="1"/>
    <col min="4561" max="4774" width="9.140625" style="12"/>
    <col min="4775" max="4775" width="18.7109375" style="12" customWidth="1"/>
    <col min="4776" max="4776" width="18.140625" style="12" customWidth="1"/>
    <col min="4777" max="4777" width="8.7109375" style="12" customWidth="1"/>
    <col min="4778" max="4778" width="9.140625" style="12"/>
    <col min="4779" max="4779" width="9.140625" style="12" customWidth="1"/>
    <col min="4780" max="4780" width="27.28515625" style="12" customWidth="1"/>
    <col min="4781" max="4816" width="9.140625" style="12" customWidth="1"/>
    <col min="4817" max="5030" width="9.140625" style="12"/>
    <col min="5031" max="5031" width="18.7109375" style="12" customWidth="1"/>
    <col min="5032" max="5032" width="18.140625" style="12" customWidth="1"/>
    <col min="5033" max="5033" width="8.7109375" style="12" customWidth="1"/>
    <col min="5034" max="5034" width="9.140625" style="12"/>
    <col min="5035" max="5035" width="9.140625" style="12" customWidth="1"/>
    <col min="5036" max="5036" width="27.28515625" style="12" customWidth="1"/>
    <col min="5037" max="5072" width="9.140625" style="12" customWidth="1"/>
    <col min="5073" max="5286" width="9.140625" style="12"/>
    <col min="5287" max="5287" width="18.7109375" style="12" customWidth="1"/>
    <col min="5288" max="5288" width="18.140625" style="12" customWidth="1"/>
    <col min="5289" max="5289" width="8.7109375" style="12" customWidth="1"/>
    <col min="5290" max="5290" width="9.140625" style="12"/>
    <col min="5291" max="5291" width="9.140625" style="12" customWidth="1"/>
    <col min="5292" max="5292" width="27.28515625" style="12" customWidth="1"/>
    <col min="5293" max="5328" width="9.140625" style="12" customWidth="1"/>
    <col min="5329" max="5542" width="9.140625" style="12"/>
    <col min="5543" max="5543" width="18.7109375" style="12" customWidth="1"/>
    <col min="5544" max="5544" width="18.140625" style="12" customWidth="1"/>
    <col min="5545" max="5545" width="8.7109375" style="12" customWidth="1"/>
    <col min="5546" max="5546" width="9.140625" style="12"/>
    <col min="5547" max="5547" width="9.140625" style="12" customWidth="1"/>
    <col min="5548" max="5548" width="27.28515625" style="12" customWidth="1"/>
    <col min="5549" max="5584" width="9.140625" style="12" customWidth="1"/>
    <col min="5585" max="5798" width="9.140625" style="12"/>
    <col min="5799" max="5799" width="18.7109375" style="12" customWidth="1"/>
    <col min="5800" max="5800" width="18.140625" style="12" customWidth="1"/>
    <col min="5801" max="5801" width="8.7109375" style="12" customWidth="1"/>
    <col min="5802" max="5802" width="9.140625" style="12"/>
    <col min="5803" max="5803" width="9.140625" style="12" customWidth="1"/>
    <col min="5804" max="5804" width="27.28515625" style="12" customWidth="1"/>
    <col min="5805" max="5840" width="9.140625" style="12" customWidth="1"/>
    <col min="5841" max="6054" width="9.140625" style="12"/>
    <col min="6055" max="6055" width="18.7109375" style="12" customWidth="1"/>
    <col min="6056" max="6056" width="18.140625" style="12" customWidth="1"/>
    <col min="6057" max="6057" width="8.7109375" style="12" customWidth="1"/>
    <col min="6058" max="6058" width="9.140625" style="12"/>
    <col min="6059" max="6059" width="9.140625" style="12" customWidth="1"/>
    <col min="6060" max="6060" width="27.28515625" style="12" customWidth="1"/>
    <col min="6061" max="6096" width="9.140625" style="12" customWidth="1"/>
    <col min="6097" max="6310" width="9.140625" style="12"/>
    <col min="6311" max="6311" width="18.7109375" style="12" customWidth="1"/>
    <col min="6312" max="6312" width="18.140625" style="12" customWidth="1"/>
    <col min="6313" max="6313" width="8.7109375" style="12" customWidth="1"/>
    <col min="6314" max="6314" width="9.140625" style="12"/>
    <col min="6315" max="6315" width="9.140625" style="12" customWidth="1"/>
    <col min="6316" max="6316" width="27.28515625" style="12" customWidth="1"/>
    <col min="6317" max="6352" width="9.140625" style="12" customWidth="1"/>
    <col min="6353" max="6566" width="9.140625" style="12"/>
    <col min="6567" max="6567" width="18.7109375" style="12" customWidth="1"/>
    <col min="6568" max="6568" width="18.140625" style="12" customWidth="1"/>
    <col min="6569" max="6569" width="8.7109375" style="12" customWidth="1"/>
    <col min="6570" max="6570" width="9.140625" style="12"/>
    <col min="6571" max="6571" width="9.140625" style="12" customWidth="1"/>
    <col min="6572" max="6572" width="27.28515625" style="12" customWidth="1"/>
    <col min="6573" max="6608" width="9.140625" style="12" customWidth="1"/>
    <col min="6609" max="6822" width="9.140625" style="12"/>
    <col min="6823" max="6823" width="18.7109375" style="12" customWidth="1"/>
    <col min="6824" max="6824" width="18.140625" style="12" customWidth="1"/>
    <col min="6825" max="6825" width="8.7109375" style="12" customWidth="1"/>
    <col min="6826" max="6826" width="9.140625" style="12"/>
    <col min="6827" max="6827" width="9.140625" style="12" customWidth="1"/>
    <col min="6828" max="6828" width="27.28515625" style="12" customWidth="1"/>
    <col min="6829" max="6864" width="9.140625" style="12" customWidth="1"/>
    <col min="6865" max="7078" width="9.140625" style="12"/>
    <col min="7079" max="7079" width="18.7109375" style="12" customWidth="1"/>
    <col min="7080" max="7080" width="18.140625" style="12" customWidth="1"/>
    <col min="7081" max="7081" width="8.7109375" style="12" customWidth="1"/>
    <col min="7082" max="7082" width="9.140625" style="12"/>
    <col min="7083" max="7083" width="9.140625" style="12" customWidth="1"/>
    <col min="7084" max="7084" width="27.28515625" style="12" customWidth="1"/>
    <col min="7085" max="7120" width="9.140625" style="12" customWidth="1"/>
    <col min="7121" max="7334" width="9.140625" style="12"/>
    <col min="7335" max="7335" width="18.7109375" style="12" customWidth="1"/>
    <col min="7336" max="7336" width="18.140625" style="12" customWidth="1"/>
    <col min="7337" max="7337" width="8.7109375" style="12" customWidth="1"/>
    <col min="7338" max="7338" width="9.140625" style="12"/>
    <col min="7339" max="7339" width="9.140625" style="12" customWidth="1"/>
    <col min="7340" max="7340" width="27.28515625" style="12" customWidth="1"/>
    <col min="7341" max="7376" width="9.140625" style="12" customWidth="1"/>
    <col min="7377" max="7590" width="9.140625" style="12"/>
    <col min="7591" max="7591" width="18.7109375" style="12" customWidth="1"/>
    <col min="7592" max="7592" width="18.140625" style="12" customWidth="1"/>
    <col min="7593" max="7593" width="8.7109375" style="12" customWidth="1"/>
    <col min="7594" max="7594" width="9.140625" style="12"/>
    <col min="7595" max="7595" width="9.140625" style="12" customWidth="1"/>
    <col min="7596" max="7596" width="27.28515625" style="12" customWidth="1"/>
    <col min="7597" max="7632" width="9.140625" style="12" customWidth="1"/>
    <col min="7633" max="7846" width="9.140625" style="12"/>
    <col min="7847" max="7847" width="18.7109375" style="12" customWidth="1"/>
    <col min="7848" max="7848" width="18.140625" style="12" customWidth="1"/>
    <col min="7849" max="7849" width="8.7109375" style="12" customWidth="1"/>
    <col min="7850" max="7850" width="9.140625" style="12"/>
    <col min="7851" max="7851" width="9.140625" style="12" customWidth="1"/>
    <col min="7852" max="7852" width="27.28515625" style="12" customWidth="1"/>
    <col min="7853" max="7888" width="9.140625" style="12" customWidth="1"/>
    <col min="7889" max="8102" width="9.140625" style="12"/>
    <col min="8103" max="8103" width="18.7109375" style="12" customWidth="1"/>
    <col min="8104" max="8104" width="18.140625" style="12" customWidth="1"/>
    <col min="8105" max="8105" width="8.7109375" style="12" customWidth="1"/>
    <col min="8106" max="8106" width="9.140625" style="12"/>
    <col min="8107" max="8107" width="9.140625" style="12" customWidth="1"/>
    <col min="8108" max="8108" width="27.28515625" style="12" customWidth="1"/>
    <col min="8109" max="8144" width="9.140625" style="12" customWidth="1"/>
    <col min="8145" max="8358" width="9.140625" style="12"/>
    <col min="8359" max="8359" width="18.7109375" style="12" customWidth="1"/>
    <col min="8360" max="8360" width="18.140625" style="12" customWidth="1"/>
    <col min="8361" max="8361" width="8.7109375" style="12" customWidth="1"/>
    <col min="8362" max="8362" width="9.140625" style="12"/>
    <col min="8363" max="8363" width="9.140625" style="12" customWidth="1"/>
    <col min="8364" max="8364" width="27.28515625" style="12" customWidth="1"/>
    <col min="8365" max="8400" width="9.140625" style="12" customWidth="1"/>
    <col min="8401" max="8614" width="9.140625" style="12"/>
    <col min="8615" max="8615" width="18.7109375" style="12" customWidth="1"/>
    <col min="8616" max="8616" width="18.140625" style="12" customWidth="1"/>
    <col min="8617" max="8617" width="8.7109375" style="12" customWidth="1"/>
    <col min="8618" max="8618" width="9.140625" style="12"/>
    <col min="8619" max="8619" width="9.140625" style="12" customWidth="1"/>
    <col min="8620" max="8620" width="27.28515625" style="12" customWidth="1"/>
    <col min="8621" max="8656" width="9.140625" style="12" customWidth="1"/>
    <col min="8657" max="8870" width="9.140625" style="12"/>
    <col min="8871" max="8871" width="18.7109375" style="12" customWidth="1"/>
    <col min="8872" max="8872" width="18.140625" style="12" customWidth="1"/>
    <col min="8873" max="8873" width="8.7109375" style="12" customWidth="1"/>
    <col min="8874" max="8874" width="9.140625" style="12"/>
    <col min="8875" max="8875" width="9.140625" style="12" customWidth="1"/>
    <col min="8876" max="8876" width="27.28515625" style="12" customWidth="1"/>
    <col min="8877" max="8912" width="9.140625" style="12" customWidth="1"/>
    <col min="8913" max="9126" width="9.140625" style="12"/>
    <col min="9127" max="9127" width="18.7109375" style="12" customWidth="1"/>
    <col min="9128" max="9128" width="18.140625" style="12" customWidth="1"/>
    <col min="9129" max="9129" width="8.7109375" style="12" customWidth="1"/>
    <col min="9130" max="9130" width="9.140625" style="12"/>
    <col min="9131" max="9131" width="9.140625" style="12" customWidth="1"/>
    <col min="9132" max="9132" width="27.28515625" style="12" customWidth="1"/>
    <col min="9133" max="9168" width="9.140625" style="12" customWidth="1"/>
    <col min="9169" max="9382" width="9.140625" style="12"/>
    <col min="9383" max="9383" width="18.7109375" style="12" customWidth="1"/>
    <col min="9384" max="9384" width="18.140625" style="12" customWidth="1"/>
    <col min="9385" max="9385" width="8.7109375" style="12" customWidth="1"/>
    <col min="9386" max="9386" width="9.140625" style="12"/>
    <col min="9387" max="9387" width="9.140625" style="12" customWidth="1"/>
    <col min="9388" max="9388" width="27.28515625" style="12" customWidth="1"/>
    <col min="9389" max="9424" width="9.140625" style="12" customWidth="1"/>
    <col min="9425" max="9638" width="9.140625" style="12"/>
    <col min="9639" max="9639" width="18.7109375" style="12" customWidth="1"/>
    <col min="9640" max="9640" width="18.140625" style="12" customWidth="1"/>
    <col min="9641" max="9641" width="8.7109375" style="12" customWidth="1"/>
    <col min="9642" max="9642" width="9.140625" style="12"/>
    <col min="9643" max="9643" width="9.140625" style="12" customWidth="1"/>
    <col min="9644" max="9644" width="27.28515625" style="12" customWidth="1"/>
    <col min="9645" max="9680" width="9.140625" style="12" customWidth="1"/>
    <col min="9681" max="9894" width="9.140625" style="12"/>
    <col min="9895" max="9895" width="18.7109375" style="12" customWidth="1"/>
    <col min="9896" max="9896" width="18.140625" style="12" customWidth="1"/>
    <col min="9897" max="9897" width="8.7109375" style="12" customWidth="1"/>
    <col min="9898" max="9898" width="9.140625" style="12"/>
    <col min="9899" max="9899" width="9.140625" style="12" customWidth="1"/>
    <col min="9900" max="9900" width="27.28515625" style="12" customWidth="1"/>
    <col min="9901" max="9936" width="9.140625" style="12" customWidth="1"/>
    <col min="9937" max="10150" width="9.140625" style="12"/>
    <col min="10151" max="10151" width="18.7109375" style="12" customWidth="1"/>
    <col min="10152" max="10152" width="18.140625" style="12" customWidth="1"/>
    <col min="10153" max="10153" width="8.7109375" style="12" customWidth="1"/>
    <col min="10154" max="10154" width="9.140625" style="12"/>
    <col min="10155" max="10155" width="9.140625" style="12" customWidth="1"/>
    <col min="10156" max="10156" width="27.28515625" style="12" customWidth="1"/>
    <col min="10157" max="10192" width="9.140625" style="12" customWidth="1"/>
    <col min="10193" max="10406" width="9.140625" style="12"/>
    <col min="10407" max="10407" width="18.7109375" style="12" customWidth="1"/>
    <col min="10408" max="10408" width="18.140625" style="12" customWidth="1"/>
    <col min="10409" max="10409" width="8.7109375" style="12" customWidth="1"/>
    <col min="10410" max="10410" width="9.140625" style="12"/>
    <col min="10411" max="10411" width="9.140625" style="12" customWidth="1"/>
    <col min="10412" max="10412" width="27.28515625" style="12" customWidth="1"/>
    <col min="10413" max="10448" width="9.140625" style="12" customWidth="1"/>
    <col min="10449" max="10662" width="9.140625" style="12"/>
    <col min="10663" max="10663" width="18.7109375" style="12" customWidth="1"/>
    <col min="10664" max="10664" width="18.140625" style="12" customWidth="1"/>
    <col min="10665" max="10665" width="8.7109375" style="12" customWidth="1"/>
    <col min="10666" max="10666" width="9.140625" style="12"/>
    <col min="10667" max="10667" width="9.140625" style="12" customWidth="1"/>
    <col min="10668" max="10668" width="27.28515625" style="12" customWidth="1"/>
    <col min="10669" max="10704" width="9.140625" style="12" customWidth="1"/>
    <col min="10705" max="10918" width="9.140625" style="12"/>
    <col min="10919" max="10919" width="18.7109375" style="12" customWidth="1"/>
    <col min="10920" max="10920" width="18.140625" style="12" customWidth="1"/>
    <col min="10921" max="10921" width="8.7109375" style="12" customWidth="1"/>
    <col min="10922" max="10922" width="9.140625" style="12"/>
    <col min="10923" max="10923" width="9.140625" style="12" customWidth="1"/>
    <col min="10924" max="10924" width="27.28515625" style="12" customWidth="1"/>
    <col min="10925" max="10960" width="9.140625" style="12" customWidth="1"/>
    <col min="10961" max="11174" width="9.140625" style="12"/>
    <col min="11175" max="11175" width="18.7109375" style="12" customWidth="1"/>
    <col min="11176" max="11176" width="18.140625" style="12" customWidth="1"/>
    <col min="11177" max="11177" width="8.7109375" style="12" customWidth="1"/>
    <col min="11178" max="11178" width="9.140625" style="12"/>
    <col min="11179" max="11179" width="9.140625" style="12" customWidth="1"/>
    <col min="11180" max="11180" width="27.28515625" style="12" customWidth="1"/>
    <col min="11181" max="11216" width="9.140625" style="12" customWidth="1"/>
    <col min="11217" max="11430" width="9.140625" style="12"/>
    <col min="11431" max="11431" width="18.7109375" style="12" customWidth="1"/>
    <col min="11432" max="11432" width="18.140625" style="12" customWidth="1"/>
    <col min="11433" max="11433" width="8.7109375" style="12" customWidth="1"/>
    <col min="11434" max="11434" width="9.140625" style="12"/>
    <col min="11435" max="11435" width="9.140625" style="12" customWidth="1"/>
    <col min="11436" max="11436" width="27.28515625" style="12" customWidth="1"/>
    <col min="11437" max="11472" width="9.140625" style="12" customWidth="1"/>
    <col min="11473" max="11686" width="9.140625" style="12"/>
    <col min="11687" max="11687" width="18.7109375" style="12" customWidth="1"/>
    <col min="11688" max="11688" width="18.140625" style="12" customWidth="1"/>
    <col min="11689" max="11689" width="8.7109375" style="12" customWidth="1"/>
    <col min="11690" max="11690" width="9.140625" style="12"/>
    <col min="11691" max="11691" width="9.140625" style="12" customWidth="1"/>
    <col min="11692" max="11692" width="27.28515625" style="12" customWidth="1"/>
    <col min="11693" max="11728" width="9.140625" style="12" customWidth="1"/>
    <col min="11729" max="11942" width="9.140625" style="12"/>
    <col min="11943" max="11943" width="18.7109375" style="12" customWidth="1"/>
    <col min="11944" max="11944" width="18.140625" style="12" customWidth="1"/>
    <col min="11945" max="11945" width="8.7109375" style="12" customWidth="1"/>
    <col min="11946" max="11946" width="9.140625" style="12"/>
    <col min="11947" max="11947" width="9.140625" style="12" customWidth="1"/>
    <col min="11948" max="11948" width="27.28515625" style="12" customWidth="1"/>
    <col min="11949" max="11984" width="9.140625" style="12" customWidth="1"/>
    <col min="11985" max="12198" width="9.140625" style="12"/>
    <col min="12199" max="12199" width="18.7109375" style="12" customWidth="1"/>
    <col min="12200" max="12200" width="18.140625" style="12" customWidth="1"/>
    <col min="12201" max="12201" width="8.7109375" style="12" customWidth="1"/>
    <col min="12202" max="12202" width="9.140625" style="12"/>
    <col min="12203" max="12203" width="9.140625" style="12" customWidth="1"/>
    <col min="12204" max="12204" width="27.28515625" style="12" customWidth="1"/>
    <col min="12205" max="12240" width="9.140625" style="12" customWidth="1"/>
    <col min="12241" max="12454" width="9.140625" style="12"/>
    <col min="12455" max="12455" width="18.7109375" style="12" customWidth="1"/>
    <col min="12456" max="12456" width="18.140625" style="12" customWidth="1"/>
    <col min="12457" max="12457" width="8.7109375" style="12" customWidth="1"/>
    <col min="12458" max="12458" width="9.140625" style="12"/>
    <col min="12459" max="12459" width="9.140625" style="12" customWidth="1"/>
    <col min="12460" max="12460" width="27.28515625" style="12" customWidth="1"/>
    <col min="12461" max="12496" width="9.140625" style="12" customWidth="1"/>
    <col min="12497" max="12710" width="9.140625" style="12"/>
    <col min="12711" max="12711" width="18.7109375" style="12" customWidth="1"/>
    <col min="12712" max="12712" width="18.140625" style="12" customWidth="1"/>
    <col min="12713" max="12713" width="8.7109375" style="12" customWidth="1"/>
    <col min="12714" max="12714" width="9.140625" style="12"/>
    <col min="12715" max="12715" width="9.140625" style="12" customWidth="1"/>
    <col min="12716" max="12716" width="27.28515625" style="12" customWidth="1"/>
    <col min="12717" max="12752" width="9.140625" style="12" customWidth="1"/>
    <col min="12753" max="12966" width="9.140625" style="12"/>
    <col min="12967" max="12967" width="18.7109375" style="12" customWidth="1"/>
    <col min="12968" max="12968" width="18.140625" style="12" customWidth="1"/>
    <col min="12969" max="12969" width="8.7109375" style="12" customWidth="1"/>
    <col min="12970" max="12970" width="9.140625" style="12"/>
    <col min="12971" max="12971" width="9.140625" style="12" customWidth="1"/>
    <col min="12972" max="12972" width="27.28515625" style="12" customWidth="1"/>
    <col min="12973" max="13008" width="9.140625" style="12" customWidth="1"/>
    <col min="13009" max="13222" width="9.140625" style="12"/>
    <col min="13223" max="13223" width="18.7109375" style="12" customWidth="1"/>
    <col min="13224" max="13224" width="18.140625" style="12" customWidth="1"/>
    <col min="13225" max="13225" width="8.7109375" style="12" customWidth="1"/>
    <col min="13226" max="13226" width="9.140625" style="12"/>
    <col min="13227" max="13227" width="9.140625" style="12" customWidth="1"/>
    <col min="13228" max="13228" width="27.28515625" style="12" customWidth="1"/>
    <col min="13229" max="13264" width="9.140625" style="12" customWidth="1"/>
    <col min="13265" max="13478" width="9.140625" style="12"/>
    <col min="13479" max="13479" width="18.7109375" style="12" customWidth="1"/>
    <col min="13480" max="13480" width="18.140625" style="12" customWidth="1"/>
    <col min="13481" max="13481" width="8.7109375" style="12" customWidth="1"/>
    <col min="13482" max="13482" width="9.140625" style="12"/>
    <col min="13483" max="13483" width="9.140625" style="12" customWidth="1"/>
    <col min="13484" max="13484" width="27.28515625" style="12" customWidth="1"/>
    <col min="13485" max="13520" width="9.140625" style="12" customWidth="1"/>
    <col min="13521" max="13734" width="9.140625" style="12"/>
    <col min="13735" max="13735" width="18.7109375" style="12" customWidth="1"/>
    <col min="13736" max="13736" width="18.140625" style="12" customWidth="1"/>
    <col min="13737" max="13737" width="8.7109375" style="12" customWidth="1"/>
    <col min="13738" max="13738" width="9.140625" style="12"/>
    <col min="13739" max="13739" width="9.140625" style="12" customWidth="1"/>
    <col min="13740" max="13740" width="27.28515625" style="12" customWidth="1"/>
    <col min="13741" max="13776" width="9.140625" style="12" customWidth="1"/>
    <col min="13777" max="13990" width="9.140625" style="12"/>
    <col min="13991" max="13991" width="18.7109375" style="12" customWidth="1"/>
    <col min="13992" max="13992" width="18.140625" style="12" customWidth="1"/>
    <col min="13993" max="13993" width="8.7109375" style="12" customWidth="1"/>
    <col min="13994" max="13994" width="9.140625" style="12"/>
    <col min="13995" max="13995" width="9.140625" style="12" customWidth="1"/>
    <col min="13996" max="13996" width="27.28515625" style="12" customWidth="1"/>
    <col min="13997" max="14032" width="9.140625" style="12" customWidth="1"/>
    <col min="14033" max="14246" width="9.140625" style="12"/>
    <col min="14247" max="14247" width="18.7109375" style="12" customWidth="1"/>
    <col min="14248" max="14248" width="18.140625" style="12" customWidth="1"/>
    <col min="14249" max="14249" width="8.7109375" style="12" customWidth="1"/>
    <col min="14250" max="14250" width="9.140625" style="12"/>
    <col min="14251" max="14251" width="9.140625" style="12" customWidth="1"/>
    <col min="14252" max="14252" width="27.28515625" style="12" customWidth="1"/>
    <col min="14253" max="14288" width="9.140625" style="12" customWidth="1"/>
    <col min="14289" max="14502" width="9.140625" style="12"/>
    <col min="14503" max="14503" width="18.7109375" style="12" customWidth="1"/>
    <col min="14504" max="14504" width="18.140625" style="12" customWidth="1"/>
    <col min="14505" max="14505" width="8.7109375" style="12" customWidth="1"/>
    <col min="14506" max="14506" width="9.140625" style="12"/>
    <col min="14507" max="14507" width="9.140625" style="12" customWidth="1"/>
    <col min="14508" max="14508" width="27.28515625" style="12" customWidth="1"/>
    <col min="14509" max="14544" width="9.140625" style="12" customWidth="1"/>
    <col min="14545" max="14758" width="9.140625" style="12"/>
    <col min="14759" max="14759" width="18.7109375" style="12" customWidth="1"/>
    <col min="14760" max="14760" width="18.140625" style="12" customWidth="1"/>
    <col min="14761" max="14761" width="8.7109375" style="12" customWidth="1"/>
    <col min="14762" max="14762" width="9.140625" style="12"/>
    <col min="14763" max="14763" width="9.140625" style="12" customWidth="1"/>
    <col min="14764" max="14764" width="27.28515625" style="12" customWidth="1"/>
    <col min="14765" max="14800" width="9.140625" style="12" customWidth="1"/>
    <col min="14801" max="15014" width="9.140625" style="12"/>
    <col min="15015" max="15015" width="18.7109375" style="12" customWidth="1"/>
    <col min="15016" max="15016" width="18.140625" style="12" customWidth="1"/>
    <col min="15017" max="15017" width="8.7109375" style="12" customWidth="1"/>
    <col min="15018" max="15018" width="9.140625" style="12"/>
    <col min="15019" max="15019" width="9.140625" style="12" customWidth="1"/>
    <col min="15020" max="15020" width="27.28515625" style="12" customWidth="1"/>
    <col min="15021" max="15056" width="9.140625" style="12" customWidth="1"/>
    <col min="15057" max="15270" width="9.140625" style="12"/>
    <col min="15271" max="15271" width="18.7109375" style="12" customWidth="1"/>
    <col min="15272" max="15272" width="18.140625" style="12" customWidth="1"/>
    <col min="15273" max="15273" width="8.7109375" style="12" customWidth="1"/>
    <col min="15274" max="15274" width="9.140625" style="12"/>
    <col min="15275" max="15275" width="9.140625" style="12" customWidth="1"/>
    <col min="15276" max="15276" width="27.28515625" style="12" customWidth="1"/>
    <col min="15277" max="15312" width="9.140625" style="12" customWidth="1"/>
    <col min="15313" max="15526" width="9.140625" style="12"/>
    <col min="15527" max="15527" width="18.7109375" style="12" customWidth="1"/>
    <col min="15528" max="15528" width="18.140625" style="12" customWidth="1"/>
    <col min="15529" max="15529" width="8.7109375" style="12" customWidth="1"/>
    <col min="15530" max="15530" width="9.140625" style="12"/>
    <col min="15531" max="15531" width="9.140625" style="12" customWidth="1"/>
    <col min="15532" max="15532" width="27.28515625" style="12" customWidth="1"/>
    <col min="15533" max="15568" width="9.140625" style="12" customWidth="1"/>
    <col min="15569" max="15782" width="9.140625" style="12"/>
    <col min="15783" max="15783" width="18.7109375" style="12" customWidth="1"/>
    <col min="15784" max="15784" width="18.140625" style="12" customWidth="1"/>
    <col min="15785" max="15785" width="8.7109375" style="12" customWidth="1"/>
    <col min="15786" max="15786" width="9.140625" style="12"/>
    <col min="15787" max="15787" width="9.140625" style="12" customWidth="1"/>
    <col min="15788" max="15788" width="27.28515625" style="12" customWidth="1"/>
    <col min="15789" max="15824" width="9.140625" style="12" customWidth="1"/>
    <col min="15825" max="16038" width="9.140625" style="12"/>
    <col min="16039" max="16039" width="18.7109375" style="12" customWidth="1"/>
    <col min="16040" max="16040" width="18.140625" style="12" customWidth="1"/>
    <col min="16041" max="16041" width="8.7109375" style="12" customWidth="1"/>
    <col min="16042" max="16042" width="9.140625" style="12"/>
    <col min="16043" max="16043" width="9.140625" style="12" customWidth="1"/>
    <col min="16044" max="16044" width="27.28515625" style="12" customWidth="1"/>
    <col min="16045" max="16080" width="9.140625" style="12" customWidth="1"/>
    <col min="16081" max="16384" width="9.140625" style="12"/>
  </cols>
  <sheetData>
    <row r="1" spans="1:8" s="14" customFormat="1" ht="21" customHeight="1" x14ac:dyDescent="0.25">
      <c r="A1" s="343"/>
      <c r="C1" s="433" t="str">
        <f>НазваниеПолное</f>
        <v>Ралли "Skoda Rally Weekend - 2017"</v>
      </c>
      <c r="D1" s="433"/>
      <c r="E1" s="433"/>
      <c r="F1" s="433"/>
      <c r="G1" s="433"/>
      <c r="H1" s="433"/>
    </row>
    <row r="2" spans="1:8" s="14" customFormat="1" ht="21" customHeight="1" x14ac:dyDescent="0.25">
      <c r="C2" s="434" t="s">
        <v>261</v>
      </c>
      <c r="D2" s="434"/>
      <c r="E2" s="434"/>
      <c r="F2" s="434"/>
      <c r="G2" s="434"/>
      <c r="H2" s="434"/>
    </row>
    <row r="3" spans="1:8" s="14" customFormat="1" ht="3" customHeight="1" x14ac:dyDescent="0.25"/>
    <row r="4" spans="1:8" ht="30" x14ac:dyDescent="0.25">
      <c r="A4" s="81" t="s">
        <v>124</v>
      </c>
      <c r="B4" s="81" t="s">
        <v>16</v>
      </c>
      <c r="C4" s="82" t="s">
        <v>134</v>
      </c>
      <c r="D4" s="82" t="s">
        <v>17</v>
      </c>
      <c r="E4" s="82" t="s">
        <v>18</v>
      </c>
      <c r="F4" s="82" t="s">
        <v>19</v>
      </c>
      <c r="G4" s="82" t="s">
        <v>20</v>
      </c>
      <c r="H4" s="83" t="s">
        <v>44</v>
      </c>
    </row>
    <row r="5" spans="1:8" x14ac:dyDescent="0.25">
      <c r="A5" s="148">
        <v>1</v>
      </c>
      <c r="B5" s="352">
        <v>1</v>
      </c>
      <c r="C5" s="100" t="s">
        <v>262</v>
      </c>
      <c r="D5" s="100" t="s">
        <v>263</v>
      </c>
      <c r="E5" s="100" t="s">
        <v>474</v>
      </c>
      <c r="F5" s="100" t="s">
        <v>475</v>
      </c>
      <c r="G5" s="102" t="s">
        <v>28</v>
      </c>
      <c r="H5" s="150">
        <v>0.50069444444444444</v>
      </c>
    </row>
    <row r="6" spans="1:8" x14ac:dyDescent="0.25">
      <c r="A6" s="149">
        <f>1+A5</f>
        <v>2</v>
      </c>
      <c r="B6" s="353">
        <v>2</v>
      </c>
      <c r="C6" s="99" t="s">
        <v>131</v>
      </c>
      <c r="D6" s="99" t="s">
        <v>240</v>
      </c>
      <c r="E6" s="99" t="s">
        <v>132</v>
      </c>
      <c r="F6" s="99" t="s">
        <v>133</v>
      </c>
      <c r="G6" s="101" t="s">
        <v>28</v>
      </c>
      <c r="H6" s="150">
        <v>0.50138888888888888</v>
      </c>
    </row>
    <row r="7" spans="1:8" x14ac:dyDescent="0.25">
      <c r="A7" s="149">
        <f>1+A6</f>
        <v>3</v>
      </c>
      <c r="B7" s="352">
        <v>3</v>
      </c>
      <c r="C7" s="100" t="s">
        <v>448</v>
      </c>
      <c r="D7" s="100" t="s">
        <v>449</v>
      </c>
      <c r="E7" s="100" t="s">
        <v>450</v>
      </c>
      <c r="F7" s="100" t="s">
        <v>451</v>
      </c>
      <c r="G7" s="102" t="s">
        <v>28</v>
      </c>
      <c r="H7" s="150">
        <v>0.50208333333333333</v>
      </c>
    </row>
    <row r="8" spans="1:8" x14ac:dyDescent="0.25">
      <c r="A8" s="149">
        <f t="shared" ref="A8:A27" si="0">1+A7</f>
        <v>4</v>
      </c>
      <c r="B8" s="352">
        <v>4</v>
      </c>
      <c r="C8" s="100" t="s">
        <v>461</v>
      </c>
      <c r="D8" s="100" t="s">
        <v>462</v>
      </c>
      <c r="E8" s="100" t="s">
        <v>463</v>
      </c>
      <c r="F8" s="100" t="s">
        <v>464</v>
      </c>
      <c r="G8" s="102" t="s">
        <v>28</v>
      </c>
      <c r="H8" s="150">
        <v>0.50277777777777777</v>
      </c>
    </row>
    <row r="9" spans="1:8" x14ac:dyDescent="0.25">
      <c r="A9" s="149">
        <f t="shared" si="0"/>
        <v>5</v>
      </c>
      <c r="B9" s="352">
        <v>5</v>
      </c>
      <c r="C9" s="100" t="s">
        <v>473</v>
      </c>
      <c r="D9" s="100" t="s">
        <v>256</v>
      </c>
      <c r="E9" s="100" t="s">
        <v>471</v>
      </c>
      <c r="F9" s="100" t="s">
        <v>472</v>
      </c>
      <c r="G9" s="102" t="s">
        <v>28</v>
      </c>
      <c r="H9" s="150">
        <v>0.50347222222222221</v>
      </c>
    </row>
    <row r="10" spans="1:8" x14ac:dyDescent="0.25">
      <c r="A10" s="149">
        <f t="shared" si="0"/>
        <v>6</v>
      </c>
      <c r="B10" s="352">
        <v>6</v>
      </c>
      <c r="C10" s="100" t="s">
        <v>243</v>
      </c>
      <c r="D10" s="100" t="s">
        <v>441</v>
      </c>
      <c r="E10" s="100" t="s">
        <v>130</v>
      </c>
      <c r="F10" s="100" t="s">
        <v>244</v>
      </c>
      <c r="G10" s="102" t="s">
        <v>28</v>
      </c>
      <c r="H10" s="150">
        <v>0.50416666666666665</v>
      </c>
    </row>
    <row r="11" spans="1:8" x14ac:dyDescent="0.25">
      <c r="A11" s="149">
        <f t="shared" si="0"/>
        <v>7</v>
      </c>
      <c r="B11" s="352">
        <v>7</v>
      </c>
      <c r="C11" s="100" t="s">
        <v>108</v>
      </c>
      <c r="D11" s="100" t="s">
        <v>245</v>
      </c>
      <c r="E11" s="100" t="s">
        <v>109</v>
      </c>
      <c r="F11" s="100" t="s">
        <v>74</v>
      </c>
      <c r="G11" s="102" t="s">
        <v>28</v>
      </c>
      <c r="H11" s="150">
        <v>0.50486111111111109</v>
      </c>
    </row>
    <row r="12" spans="1:8" x14ac:dyDescent="0.25">
      <c r="A12" s="149">
        <f t="shared" si="0"/>
        <v>8</v>
      </c>
      <c r="B12" s="352">
        <v>8</v>
      </c>
      <c r="C12" s="100" t="s">
        <v>114</v>
      </c>
      <c r="D12" s="100" t="s">
        <v>103</v>
      </c>
      <c r="E12" s="100" t="s">
        <v>115</v>
      </c>
      <c r="F12" s="100" t="s">
        <v>116</v>
      </c>
      <c r="G12" s="102" t="s">
        <v>28</v>
      </c>
      <c r="H12" s="150">
        <v>0.50555555555555554</v>
      </c>
    </row>
    <row r="13" spans="1:8" x14ac:dyDescent="0.25">
      <c r="A13" s="149">
        <f t="shared" si="0"/>
        <v>9</v>
      </c>
      <c r="B13" s="352">
        <v>9</v>
      </c>
      <c r="C13" s="100" t="s">
        <v>246</v>
      </c>
      <c r="D13" s="100" t="s">
        <v>442</v>
      </c>
      <c r="E13" s="100" t="s">
        <v>248</v>
      </c>
      <c r="F13" s="100" t="s">
        <v>247</v>
      </c>
      <c r="G13" s="102" t="s">
        <v>28</v>
      </c>
      <c r="H13" s="150">
        <v>0.50624999999999998</v>
      </c>
    </row>
    <row r="14" spans="1:8" x14ac:dyDescent="0.25">
      <c r="A14" s="149">
        <f t="shared" si="0"/>
        <v>10</v>
      </c>
      <c r="B14" s="352">
        <v>10</v>
      </c>
      <c r="C14" s="100"/>
      <c r="D14" s="100" t="s">
        <v>105</v>
      </c>
      <c r="E14" s="100" t="s">
        <v>106</v>
      </c>
      <c r="F14" s="100" t="s">
        <v>107</v>
      </c>
      <c r="G14" s="102" t="s">
        <v>28</v>
      </c>
      <c r="H14" s="150">
        <v>0.50694444444444442</v>
      </c>
    </row>
    <row r="15" spans="1:8" x14ac:dyDescent="0.25">
      <c r="A15" s="149">
        <f t="shared" si="0"/>
        <v>11</v>
      </c>
      <c r="B15" s="352">
        <v>11</v>
      </c>
      <c r="C15" s="100" t="s">
        <v>444</v>
      </c>
      <c r="D15" s="100" t="s">
        <v>445</v>
      </c>
      <c r="E15" s="100" t="s">
        <v>446</v>
      </c>
      <c r="F15" s="100" t="s">
        <v>447</v>
      </c>
      <c r="G15" s="102" t="s">
        <v>28</v>
      </c>
      <c r="H15" s="150">
        <v>0.50763888888888886</v>
      </c>
    </row>
    <row r="16" spans="1:8" x14ac:dyDescent="0.25">
      <c r="A16" s="149">
        <f t="shared" si="0"/>
        <v>12</v>
      </c>
      <c r="B16" s="352">
        <v>12</v>
      </c>
      <c r="C16" s="100" t="s">
        <v>456</v>
      </c>
      <c r="D16" s="100" t="s">
        <v>457</v>
      </c>
      <c r="E16" s="100" t="s">
        <v>458</v>
      </c>
      <c r="F16" s="100" t="s">
        <v>459</v>
      </c>
      <c r="G16" s="102" t="s">
        <v>28</v>
      </c>
      <c r="H16" s="150">
        <v>0.5083333333333333</v>
      </c>
    </row>
    <row r="17" spans="1:8" x14ac:dyDescent="0.25">
      <c r="A17" s="149">
        <f t="shared" si="0"/>
        <v>13</v>
      </c>
      <c r="B17" s="352">
        <v>13</v>
      </c>
      <c r="C17" s="100" t="s">
        <v>452</v>
      </c>
      <c r="D17" s="100" t="s">
        <v>453</v>
      </c>
      <c r="E17" s="100" t="s">
        <v>454</v>
      </c>
      <c r="F17" s="100" t="s">
        <v>455</v>
      </c>
      <c r="G17" s="102" t="s">
        <v>28</v>
      </c>
      <c r="H17" s="150">
        <v>0.50902777777777775</v>
      </c>
    </row>
    <row r="18" spans="1:8" x14ac:dyDescent="0.25">
      <c r="A18" s="149">
        <f t="shared" si="0"/>
        <v>14</v>
      </c>
      <c r="B18" s="352">
        <v>14</v>
      </c>
      <c r="C18" s="100" t="s">
        <v>250</v>
      </c>
      <c r="D18" s="100" t="s">
        <v>460</v>
      </c>
      <c r="E18" s="100" t="s">
        <v>121</v>
      </c>
      <c r="F18" s="100" t="s">
        <v>122</v>
      </c>
      <c r="G18" s="102" t="s">
        <v>28</v>
      </c>
      <c r="H18" s="150">
        <v>0.50972222222222219</v>
      </c>
    </row>
    <row r="19" spans="1:8" x14ac:dyDescent="0.25">
      <c r="A19" s="149">
        <f t="shared" si="0"/>
        <v>15</v>
      </c>
      <c r="B19" s="352">
        <v>15</v>
      </c>
      <c r="C19" s="100" t="s">
        <v>111</v>
      </c>
      <c r="D19" s="100" t="s">
        <v>440</v>
      </c>
      <c r="E19" s="100" t="s">
        <v>40</v>
      </c>
      <c r="F19" s="100" t="s">
        <v>112</v>
      </c>
      <c r="G19" s="102" t="s">
        <v>28</v>
      </c>
      <c r="H19" s="150">
        <v>0.51041666666666663</v>
      </c>
    </row>
    <row r="20" spans="1:8" x14ac:dyDescent="0.25">
      <c r="A20" s="149">
        <f t="shared" si="0"/>
        <v>16</v>
      </c>
      <c r="B20" s="352">
        <v>16</v>
      </c>
      <c r="C20" s="100" t="s">
        <v>252</v>
      </c>
      <c r="D20" s="100" t="s">
        <v>489</v>
      </c>
      <c r="E20" s="100" t="s">
        <v>491</v>
      </c>
      <c r="F20" s="100" t="s">
        <v>492</v>
      </c>
      <c r="G20" s="102" t="s">
        <v>28</v>
      </c>
      <c r="H20" s="150">
        <v>0.51111111111111118</v>
      </c>
    </row>
    <row r="21" spans="1:8" x14ac:dyDescent="0.25">
      <c r="A21" s="149">
        <f t="shared" si="0"/>
        <v>17</v>
      </c>
      <c r="B21" s="352">
        <v>17</v>
      </c>
      <c r="C21" s="100" t="s">
        <v>42</v>
      </c>
      <c r="D21" s="100" t="s">
        <v>443</v>
      </c>
      <c r="E21" s="100" t="s">
        <v>43</v>
      </c>
      <c r="F21" s="100" t="s">
        <v>113</v>
      </c>
      <c r="G21" s="102" t="s">
        <v>28</v>
      </c>
      <c r="H21" s="150">
        <v>0.51180555555555551</v>
      </c>
    </row>
    <row r="22" spans="1:8" x14ac:dyDescent="0.25">
      <c r="A22" s="149">
        <f t="shared" si="0"/>
        <v>18</v>
      </c>
      <c r="B22" s="352">
        <v>18</v>
      </c>
      <c r="C22" s="100" t="s">
        <v>104</v>
      </c>
      <c r="D22" s="100" t="s">
        <v>257</v>
      </c>
      <c r="E22" s="100" t="s">
        <v>465</v>
      </c>
      <c r="F22" s="100" t="s">
        <v>466</v>
      </c>
      <c r="G22" s="102" t="s">
        <v>27</v>
      </c>
      <c r="H22" s="150">
        <v>0.51250000000000007</v>
      </c>
    </row>
    <row r="23" spans="1:8" x14ac:dyDescent="0.25">
      <c r="A23" s="149">
        <f t="shared" si="0"/>
        <v>19</v>
      </c>
      <c r="B23" s="352">
        <v>19</v>
      </c>
      <c r="C23" s="100" t="s">
        <v>117</v>
      </c>
      <c r="D23" s="100" t="s">
        <v>258</v>
      </c>
      <c r="E23" s="100" t="s">
        <v>118</v>
      </c>
      <c r="F23" s="100" t="s">
        <v>119</v>
      </c>
      <c r="G23" s="102" t="s">
        <v>27</v>
      </c>
      <c r="H23" s="150">
        <v>0.5131944444444444</v>
      </c>
    </row>
    <row r="24" spans="1:8" x14ac:dyDescent="0.25">
      <c r="A24" s="149">
        <f t="shared" si="0"/>
        <v>20</v>
      </c>
      <c r="B24" s="352">
        <v>20</v>
      </c>
      <c r="C24" s="100" t="s">
        <v>467</v>
      </c>
      <c r="D24" s="100" t="s">
        <v>468</v>
      </c>
      <c r="E24" s="100" t="s">
        <v>260</v>
      </c>
      <c r="F24" s="100" t="s">
        <v>75</v>
      </c>
      <c r="G24" s="102" t="s">
        <v>27</v>
      </c>
      <c r="H24" s="150">
        <v>0.51388888888888895</v>
      </c>
    </row>
    <row r="25" spans="1:8" x14ac:dyDescent="0.25">
      <c r="A25" s="149">
        <f t="shared" si="0"/>
        <v>21</v>
      </c>
      <c r="B25" s="352">
        <v>21</v>
      </c>
      <c r="C25" s="100" t="s">
        <v>238</v>
      </c>
      <c r="D25" s="100" t="s">
        <v>39</v>
      </c>
      <c r="E25" s="100" t="s">
        <v>76</v>
      </c>
      <c r="F25" s="100" t="s">
        <v>77</v>
      </c>
      <c r="G25" s="102" t="s">
        <v>27</v>
      </c>
      <c r="H25" s="150">
        <v>0.51458333333333328</v>
      </c>
    </row>
    <row r="26" spans="1:8" x14ac:dyDescent="0.25">
      <c r="A26" s="149">
        <f t="shared" si="0"/>
        <v>22</v>
      </c>
      <c r="B26" s="352">
        <v>22</v>
      </c>
      <c r="C26" s="100" t="s">
        <v>128</v>
      </c>
      <c r="D26" s="100" t="s">
        <v>469</v>
      </c>
      <c r="E26" s="100" t="s">
        <v>129</v>
      </c>
      <c r="F26" s="100" t="s">
        <v>470</v>
      </c>
      <c r="G26" s="102" t="s">
        <v>27</v>
      </c>
      <c r="H26" s="150">
        <v>0.51527777777777783</v>
      </c>
    </row>
    <row r="27" spans="1:8" x14ac:dyDescent="0.25">
      <c r="A27" s="151">
        <f t="shared" si="0"/>
        <v>23</v>
      </c>
      <c r="B27" s="354">
        <v>23</v>
      </c>
      <c r="C27" s="153" t="s">
        <v>110</v>
      </c>
      <c r="D27" s="153" t="s">
        <v>255</v>
      </c>
      <c r="E27" s="153" t="s">
        <v>41</v>
      </c>
      <c r="F27" s="153" t="s">
        <v>498</v>
      </c>
      <c r="G27" s="152" t="s">
        <v>27</v>
      </c>
      <c r="H27" s="154">
        <v>0.51597222222222217</v>
      </c>
    </row>
  </sheetData>
  <mergeCells count="2">
    <mergeCell ref="C1:H1"/>
    <mergeCell ref="C2:H2"/>
  </mergeCells>
  <pageMargins left="0.39370078740157483" right="0.39370078740157483" top="0.39370078740157483" bottom="0.78740157480314965" header="0" footer="0.39370078740157483"/>
  <pageSetup paperSize="9" orientation="landscape" r:id="rId1"/>
  <headerFooter>
    <oddFooter>Страница  &amp;P из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zoomScaleNormal="100" workbookViewId="0"/>
  </sheetViews>
  <sheetFormatPr defaultRowHeight="15" customHeight="1" x14ac:dyDescent="0.25"/>
  <cols>
    <col min="1" max="1" width="15.7109375" style="104" customWidth="1"/>
    <col min="2" max="2" width="35.7109375" style="104" customWidth="1"/>
    <col min="3" max="9" width="9.7109375" style="104" customWidth="1"/>
    <col min="10" max="16384" width="9.140625" style="104"/>
  </cols>
  <sheetData>
    <row r="1" spans="1:9" ht="21" x14ac:dyDescent="0.25">
      <c r="B1" s="435" t="str">
        <f>НазваниеПолное</f>
        <v>Ралли "Skoda Rally Weekend - 2017"</v>
      </c>
      <c r="C1" s="435"/>
      <c r="D1" s="435"/>
      <c r="E1" s="435"/>
      <c r="F1" s="435"/>
      <c r="G1" s="435"/>
      <c r="H1" s="435"/>
      <c r="I1" s="435"/>
    </row>
    <row r="2" spans="1:9" ht="21" customHeight="1" x14ac:dyDescent="0.25">
      <c r="B2" s="435" t="str">
        <f>"Расчет "&amp;ДС1</f>
        <v>Расчет ДС-1 РД</v>
      </c>
      <c r="C2" s="435"/>
      <c r="D2" s="435"/>
      <c r="E2" s="435"/>
      <c r="F2" s="435"/>
      <c r="G2" s="435"/>
      <c r="H2" s="435"/>
      <c r="I2" s="435"/>
    </row>
    <row r="3" spans="1:9" s="207" customFormat="1" ht="5.0999999999999996" customHeight="1" x14ac:dyDescent="0.25">
      <c r="B3" s="208"/>
      <c r="C3" s="208"/>
      <c r="D3" s="208"/>
      <c r="E3" s="208"/>
      <c r="F3" s="208"/>
      <c r="G3" s="208"/>
      <c r="H3" s="208"/>
      <c r="I3" s="208"/>
    </row>
    <row r="4" spans="1:9" ht="60" x14ac:dyDescent="0.25">
      <c r="A4" s="436" t="s">
        <v>204</v>
      </c>
      <c r="B4" s="437"/>
      <c r="C4" s="82" t="s">
        <v>205</v>
      </c>
      <c r="D4" s="82" t="s">
        <v>206</v>
      </c>
      <c r="E4" s="82" t="s">
        <v>207</v>
      </c>
      <c r="F4" s="82" t="s">
        <v>208</v>
      </c>
      <c r="G4" s="82" t="s">
        <v>142</v>
      </c>
      <c r="H4" s="82" t="s">
        <v>209</v>
      </c>
      <c r="I4" s="83" t="s">
        <v>210</v>
      </c>
    </row>
    <row r="5" spans="1:9" ht="30" customHeight="1" x14ac:dyDescent="0.25">
      <c r="A5" s="438" t="s">
        <v>311</v>
      </c>
      <c r="B5" s="439"/>
      <c r="C5" s="291">
        <v>15.94</v>
      </c>
      <c r="D5" s="163">
        <f>C6-C5</f>
        <v>1.1100000000000012</v>
      </c>
      <c r="E5" s="163">
        <v>90</v>
      </c>
      <c r="F5" s="163"/>
      <c r="G5" s="163">
        <v>-10</v>
      </c>
      <c r="H5" s="163">
        <f>E5*IF(ISNUMBER(F5),F5,1)+IF(ISNUMBER(G5),G5,0)</f>
        <v>80</v>
      </c>
      <c r="I5" s="164">
        <f>ROUNDDOWN(D5/H5*3600,0)</f>
        <v>49</v>
      </c>
    </row>
    <row r="6" spans="1:9" ht="30" customHeight="1" x14ac:dyDescent="0.25">
      <c r="A6" s="440" t="s">
        <v>312</v>
      </c>
      <c r="B6" s="441"/>
      <c r="C6" s="301">
        <v>17.05</v>
      </c>
      <c r="D6" s="163">
        <f t="shared" ref="D6:D9" si="0">C7-C6</f>
        <v>0.50999999999999801</v>
      </c>
      <c r="E6" s="166">
        <v>60</v>
      </c>
      <c r="F6" s="166"/>
      <c r="G6" s="163">
        <v>-10</v>
      </c>
      <c r="H6" s="166">
        <f t="shared" ref="H6:H9" si="1">E6*IF(ISNUMBER(F6),F6,1)+IF(ISNUMBER(G6),G6,0)</f>
        <v>50</v>
      </c>
      <c r="I6" s="164">
        <f t="shared" ref="I6:I9" si="2">ROUNDDOWN(D6/H6*3600,0)</f>
        <v>36</v>
      </c>
    </row>
    <row r="7" spans="1:9" ht="30" customHeight="1" x14ac:dyDescent="0.25">
      <c r="A7" s="446" t="s">
        <v>312</v>
      </c>
      <c r="B7" s="447"/>
      <c r="C7" s="301">
        <v>17.559999999999999</v>
      </c>
      <c r="D7" s="163">
        <f t="shared" si="0"/>
        <v>1.7900000000000027</v>
      </c>
      <c r="E7" s="166">
        <v>90</v>
      </c>
      <c r="F7" s="166"/>
      <c r="G7" s="163">
        <v>-10</v>
      </c>
      <c r="H7" s="166">
        <f t="shared" si="1"/>
        <v>80</v>
      </c>
      <c r="I7" s="164">
        <f t="shared" si="2"/>
        <v>80</v>
      </c>
    </row>
    <row r="8" spans="1:9" ht="30" customHeight="1" x14ac:dyDescent="0.25">
      <c r="A8" s="440" t="s">
        <v>313</v>
      </c>
      <c r="B8" s="441"/>
      <c r="C8" s="172">
        <v>19.350000000000001</v>
      </c>
      <c r="D8" s="163">
        <f t="shared" si="0"/>
        <v>0.75</v>
      </c>
      <c r="E8" s="166">
        <v>60</v>
      </c>
      <c r="F8" s="166"/>
      <c r="G8" s="163">
        <v>-10</v>
      </c>
      <c r="H8" s="166">
        <f t="shared" si="1"/>
        <v>50</v>
      </c>
      <c r="I8" s="164">
        <f t="shared" si="2"/>
        <v>54</v>
      </c>
    </row>
    <row r="9" spans="1:9" ht="30" customHeight="1" x14ac:dyDescent="0.25">
      <c r="A9" s="446" t="s">
        <v>313</v>
      </c>
      <c r="B9" s="447"/>
      <c r="C9" s="172">
        <v>20.100000000000001</v>
      </c>
      <c r="D9" s="163">
        <f t="shared" si="0"/>
        <v>4.9899999999999984</v>
      </c>
      <c r="E9" s="166">
        <v>90</v>
      </c>
      <c r="F9" s="166"/>
      <c r="G9" s="163">
        <v>-10</v>
      </c>
      <c r="H9" s="166">
        <f t="shared" si="1"/>
        <v>80</v>
      </c>
      <c r="I9" s="164">
        <f t="shared" si="2"/>
        <v>224</v>
      </c>
    </row>
    <row r="10" spans="1:9" ht="15" customHeight="1" x14ac:dyDescent="0.25">
      <c r="A10" s="442" t="s">
        <v>211</v>
      </c>
      <c r="B10" s="443"/>
      <c r="C10" s="167">
        <v>25.09</v>
      </c>
      <c r="D10" s="168"/>
      <c r="E10" s="168"/>
      <c r="F10" s="168"/>
      <c r="G10" s="168"/>
      <c r="H10" s="168"/>
      <c r="I10" s="169"/>
    </row>
    <row r="11" spans="1:9" ht="15" customHeight="1" x14ac:dyDescent="0.25">
      <c r="A11" s="444" t="s">
        <v>212</v>
      </c>
      <c r="B11" s="445"/>
      <c r="C11" s="159"/>
      <c r="D11" s="225"/>
      <c r="E11" s="225"/>
      <c r="F11" s="225"/>
      <c r="G11" s="225"/>
      <c r="H11" s="160" t="s">
        <v>213</v>
      </c>
      <c r="I11" s="161">
        <f>SUM(I5:I10)</f>
        <v>443</v>
      </c>
    </row>
    <row r="12" spans="1:9" ht="15" customHeight="1" x14ac:dyDescent="0.25">
      <c r="H12" s="160" t="s">
        <v>214</v>
      </c>
      <c r="I12" s="161" t="str">
        <f>ROUNDDOWN(I11/60,0)&amp;"'"&amp;I11-ROUNDDOWN(I11/60,0)*60&amp;CHAR(34)</f>
        <v>7'23"</v>
      </c>
    </row>
    <row r="17" spans="8:9" ht="15" customHeight="1" x14ac:dyDescent="0.25">
      <c r="H17" s="105"/>
      <c r="I17" s="106"/>
    </row>
  </sheetData>
  <mergeCells count="10">
    <mergeCell ref="A10:B10"/>
    <mergeCell ref="A11:B11"/>
    <mergeCell ref="A8:B8"/>
    <mergeCell ref="A9:B9"/>
    <mergeCell ref="A7:B7"/>
    <mergeCell ref="B1:I1"/>
    <mergeCell ref="B2:I2"/>
    <mergeCell ref="A4:B4"/>
    <mergeCell ref="A5:B5"/>
    <mergeCell ref="A6:B6"/>
  </mergeCells>
  <pageMargins left="0.78740157480314965" right="0.39370078740157483" top="0.78740157480314965" bottom="0.78740157480314965" header="0" footer="0"/>
  <pageSetup orientation="landscape" horizontalDpi="200" verticalDpi="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"/>
  <sheetViews>
    <sheetView zoomScaleNormal="100" workbookViewId="0"/>
  </sheetViews>
  <sheetFormatPr defaultRowHeight="15" customHeight="1" x14ac:dyDescent="0.25"/>
  <cols>
    <col min="1" max="1" width="15.7109375" style="104" customWidth="1"/>
    <col min="2" max="2" width="35.7109375" style="104" customWidth="1"/>
    <col min="3" max="9" width="9.7109375" style="104" customWidth="1"/>
    <col min="10" max="16384" width="9.140625" style="104"/>
  </cols>
  <sheetData>
    <row r="1" spans="1:9" ht="21" x14ac:dyDescent="0.25">
      <c r="B1" s="435" t="str">
        <f>НазваниеПолное</f>
        <v>Ралли "Skoda Rally Weekend - 2017"</v>
      </c>
      <c r="C1" s="435"/>
      <c r="D1" s="435"/>
      <c r="E1" s="435"/>
      <c r="F1" s="435"/>
      <c r="G1" s="435"/>
      <c r="H1" s="435"/>
      <c r="I1" s="435"/>
    </row>
    <row r="2" spans="1:9" ht="21" customHeight="1" x14ac:dyDescent="0.25">
      <c r="B2" s="435" t="str">
        <f>"Расчет "&amp;ДС3</f>
        <v>Расчет ДС-3 РД</v>
      </c>
      <c r="C2" s="435"/>
      <c r="D2" s="435"/>
      <c r="E2" s="435"/>
      <c r="F2" s="435"/>
      <c r="G2" s="435"/>
      <c r="H2" s="435"/>
      <c r="I2" s="435"/>
    </row>
    <row r="3" spans="1:9" s="207" customFormat="1" ht="5.0999999999999996" customHeight="1" x14ac:dyDescent="0.25">
      <c r="B3" s="208"/>
      <c r="C3" s="208"/>
      <c r="D3" s="208"/>
      <c r="E3" s="208"/>
      <c r="F3" s="208"/>
      <c r="G3" s="208"/>
      <c r="H3" s="208"/>
      <c r="I3" s="208"/>
    </row>
    <row r="4" spans="1:9" ht="60" x14ac:dyDescent="0.25">
      <c r="A4" s="436" t="s">
        <v>204</v>
      </c>
      <c r="B4" s="437"/>
      <c r="C4" s="82" t="s">
        <v>205</v>
      </c>
      <c r="D4" s="82" t="s">
        <v>206</v>
      </c>
      <c r="E4" s="82" t="s">
        <v>207</v>
      </c>
      <c r="F4" s="82" t="s">
        <v>208</v>
      </c>
      <c r="G4" s="82" t="s">
        <v>142</v>
      </c>
      <c r="H4" s="82" t="s">
        <v>209</v>
      </c>
      <c r="I4" s="83" t="s">
        <v>210</v>
      </c>
    </row>
    <row r="5" spans="1:9" ht="30" customHeight="1" x14ac:dyDescent="0.25">
      <c r="A5" s="438" t="s">
        <v>314</v>
      </c>
      <c r="B5" s="439"/>
      <c r="C5" s="162">
        <v>0</v>
      </c>
      <c r="D5" s="163">
        <f>C6-C5</f>
        <v>2.71</v>
      </c>
      <c r="E5" s="163">
        <v>90</v>
      </c>
      <c r="F5" s="163">
        <v>0.8</v>
      </c>
      <c r="G5" s="163"/>
      <c r="H5" s="163">
        <f>E5*IF(ISNUMBER(F5),F5,1)+IF(ISNUMBER(G5),G5,0)</f>
        <v>72</v>
      </c>
      <c r="I5" s="164">
        <f>ROUNDDOWN(D5/H5*3600,0)</f>
        <v>135</v>
      </c>
    </row>
    <row r="6" spans="1:9" ht="30" customHeight="1" x14ac:dyDescent="0.25">
      <c r="A6" s="440" t="s">
        <v>315</v>
      </c>
      <c r="B6" s="441"/>
      <c r="C6" s="172">
        <v>2.71</v>
      </c>
      <c r="D6" s="163">
        <f t="shared" ref="D6:D13" si="0">C7-C6</f>
        <v>1.4100000000000001</v>
      </c>
      <c r="E6" s="166">
        <v>60</v>
      </c>
      <c r="F6" s="163">
        <v>0.8</v>
      </c>
      <c r="G6" s="166"/>
      <c r="H6" s="166">
        <f t="shared" ref="H6:H13" si="1">E6*IF(ISNUMBER(F6),F6,1)+IF(ISNUMBER(G6),G6,0)</f>
        <v>48</v>
      </c>
      <c r="I6" s="164">
        <f t="shared" ref="I6:I13" si="2">ROUNDDOWN(D6/H6*3600,0)</f>
        <v>105</v>
      </c>
    </row>
    <row r="7" spans="1:9" ht="30" customHeight="1" x14ac:dyDescent="0.25">
      <c r="A7" s="446" t="s">
        <v>315</v>
      </c>
      <c r="B7" s="447"/>
      <c r="C7" s="172">
        <v>4.12</v>
      </c>
      <c r="D7" s="163">
        <f t="shared" si="0"/>
        <v>0.34999999999999964</v>
      </c>
      <c r="E7" s="166">
        <v>90</v>
      </c>
      <c r="F7" s="163">
        <v>0.8</v>
      </c>
      <c r="G7" s="166"/>
      <c r="H7" s="166">
        <f t="shared" si="1"/>
        <v>72</v>
      </c>
      <c r="I7" s="164">
        <f t="shared" si="2"/>
        <v>17</v>
      </c>
    </row>
    <row r="8" spans="1:9" ht="30" customHeight="1" x14ac:dyDescent="0.25">
      <c r="A8" s="440" t="s">
        <v>316</v>
      </c>
      <c r="B8" s="441"/>
      <c r="C8" s="172">
        <v>4.47</v>
      </c>
      <c r="D8" s="163">
        <f t="shared" si="0"/>
        <v>0.85000000000000053</v>
      </c>
      <c r="E8" s="166">
        <v>60</v>
      </c>
      <c r="F8" s="163">
        <v>0.8</v>
      </c>
      <c r="G8" s="166"/>
      <c r="H8" s="166">
        <f t="shared" si="1"/>
        <v>48</v>
      </c>
      <c r="I8" s="164">
        <f t="shared" si="2"/>
        <v>63</v>
      </c>
    </row>
    <row r="9" spans="1:9" ht="30" customHeight="1" x14ac:dyDescent="0.25">
      <c r="A9" s="446" t="s">
        <v>316</v>
      </c>
      <c r="B9" s="447"/>
      <c r="C9" s="172">
        <v>5.32</v>
      </c>
      <c r="D9" s="163">
        <f t="shared" si="0"/>
        <v>9.6</v>
      </c>
      <c r="E9" s="166">
        <v>90</v>
      </c>
      <c r="F9" s="163">
        <v>0.8</v>
      </c>
      <c r="G9" s="166"/>
      <c r="H9" s="166">
        <f t="shared" si="1"/>
        <v>72</v>
      </c>
      <c r="I9" s="164">
        <f t="shared" si="2"/>
        <v>480</v>
      </c>
    </row>
    <row r="10" spans="1:9" ht="30" customHeight="1" x14ac:dyDescent="0.25">
      <c r="A10" s="440" t="s">
        <v>318</v>
      </c>
      <c r="B10" s="441"/>
      <c r="C10" s="165">
        <v>14.92</v>
      </c>
      <c r="D10" s="163">
        <f t="shared" si="0"/>
        <v>0.47000000000000064</v>
      </c>
      <c r="E10" s="166">
        <v>60</v>
      </c>
      <c r="F10" s="163">
        <v>0.8</v>
      </c>
      <c r="G10" s="166"/>
      <c r="H10" s="166">
        <f t="shared" si="1"/>
        <v>48</v>
      </c>
      <c r="I10" s="164">
        <f t="shared" si="2"/>
        <v>35</v>
      </c>
    </row>
    <row r="11" spans="1:9" ht="30" customHeight="1" x14ac:dyDescent="0.25">
      <c r="A11" s="446" t="s">
        <v>318</v>
      </c>
      <c r="B11" s="447"/>
      <c r="C11" s="165">
        <v>15.39</v>
      </c>
      <c r="D11" s="163">
        <f t="shared" si="0"/>
        <v>5.259999999999998</v>
      </c>
      <c r="E11" s="166">
        <v>90</v>
      </c>
      <c r="F11" s="163">
        <v>0.8</v>
      </c>
      <c r="G11" s="166"/>
      <c r="H11" s="166">
        <f t="shared" si="1"/>
        <v>72</v>
      </c>
      <c r="I11" s="164">
        <f t="shared" si="2"/>
        <v>263</v>
      </c>
    </row>
    <row r="12" spans="1:9" ht="30" customHeight="1" x14ac:dyDescent="0.25">
      <c r="A12" s="440" t="s">
        <v>317</v>
      </c>
      <c r="B12" s="441"/>
      <c r="C12" s="165">
        <v>20.65</v>
      </c>
      <c r="D12" s="163">
        <f t="shared" si="0"/>
        <v>0.13000000000000256</v>
      </c>
      <c r="E12" s="166">
        <v>60</v>
      </c>
      <c r="F12" s="163">
        <v>0.8</v>
      </c>
      <c r="G12" s="166"/>
      <c r="H12" s="166">
        <f t="shared" si="1"/>
        <v>48</v>
      </c>
      <c r="I12" s="164">
        <f t="shared" si="2"/>
        <v>9</v>
      </c>
    </row>
    <row r="13" spans="1:9" ht="30" customHeight="1" x14ac:dyDescent="0.25">
      <c r="A13" s="446" t="s">
        <v>317</v>
      </c>
      <c r="B13" s="447"/>
      <c r="C13" s="165">
        <v>20.78</v>
      </c>
      <c r="D13" s="163">
        <f t="shared" si="0"/>
        <v>5.73</v>
      </c>
      <c r="E13" s="166">
        <v>90</v>
      </c>
      <c r="F13" s="163">
        <v>0.8</v>
      </c>
      <c r="G13" s="166"/>
      <c r="H13" s="166">
        <f t="shared" si="1"/>
        <v>72</v>
      </c>
      <c r="I13" s="164">
        <f t="shared" si="2"/>
        <v>286</v>
      </c>
    </row>
    <row r="14" spans="1:9" ht="15" customHeight="1" x14ac:dyDescent="0.25">
      <c r="A14" s="442" t="s">
        <v>211</v>
      </c>
      <c r="B14" s="443"/>
      <c r="C14" s="167">
        <v>26.51</v>
      </c>
      <c r="D14" s="163"/>
      <c r="E14" s="168"/>
      <c r="F14" s="168"/>
      <c r="G14" s="168"/>
      <c r="H14" s="168"/>
      <c r="I14" s="169"/>
    </row>
    <row r="15" spans="1:9" ht="15" customHeight="1" x14ac:dyDescent="0.25">
      <c r="A15" s="444" t="s">
        <v>212</v>
      </c>
      <c r="B15" s="445"/>
      <c r="C15" s="159"/>
      <c r="D15" s="126"/>
      <c r="E15" s="126"/>
      <c r="F15" s="126"/>
      <c r="G15" s="126"/>
      <c r="H15" s="160" t="s">
        <v>213</v>
      </c>
      <c r="I15" s="161">
        <f>SUM(I5:I14)</f>
        <v>1393</v>
      </c>
    </row>
    <row r="16" spans="1:9" ht="15" customHeight="1" x14ac:dyDescent="0.25">
      <c r="H16" s="160" t="s">
        <v>214</v>
      </c>
      <c r="I16" s="161" t="str">
        <f>ROUNDDOWN(I15/60,0)&amp;"'"&amp;I15-ROUNDDOWN(I15/60,0)*60&amp;CHAR(34)</f>
        <v>23'13"</v>
      </c>
    </row>
    <row r="21" spans="8:9" ht="15" customHeight="1" x14ac:dyDescent="0.25">
      <c r="H21" s="105"/>
      <c r="I21" s="106"/>
    </row>
  </sheetData>
  <mergeCells count="14">
    <mergeCell ref="A12:B12"/>
    <mergeCell ref="A13:B13"/>
    <mergeCell ref="A14:B14"/>
    <mergeCell ref="A15:B15"/>
    <mergeCell ref="B1:I1"/>
    <mergeCell ref="B2:I2"/>
    <mergeCell ref="A7:B7"/>
    <mergeCell ref="A8:B8"/>
    <mergeCell ref="A9:B9"/>
    <mergeCell ref="A10:B10"/>
    <mergeCell ref="A11:B11"/>
    <mergeCell ref="A4:B4"/>
    <mergeCell ref="A5:B5"/>
    <mergeCell ref="A6:B6"/>
  </mergeCells>
  <pageMargins left="0.78740157480314965" right="0.39370078740157483" top="0.78740157480314965" bottom="0.78740157480314965" header="0" footer="0"/>
  <pageSetup orientation="landscape" horizontalDpi="200" verticalDpi="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48</vt:i4>
      </vt:variant>
      <vt:variant>
        <vt:lpstr>Именованные диапазоны</vt:lpstr>
      </vt:variant>
      <vt:variant>
        <vt:i4>117</vt:i4>
      </vt:variant>
    </vt:vector>
  </HeadingPairs>
  <TitlesOfParts>
    <vt:vector size="165" baseType="lpstr">
      <vt:lpstr>Skoda Quest</vt:lpstr>
      <vt:lpstr>Общее</vt:lpstr>
      <vt:lpstr>Маршрутный лист</vt:lpstr>
      <vt:lpstr>Результаты</vt:lpstr>
      <vt:lpstr>Результаты печать</vt:lpstr>
      <vt:lpstr>КВЕСТ</vt:lpstr>
      <vt:lpstr>Стартовая ведомость</vt:lpstr>
      <vt:lpstr>ДС-1 РД</vt:lpstr>
      <vt:lpstr>ДС-3 РД</vt:lpstr>
      <vt:lpstr>Контрольная карта</vt:lpstr>
      <vt:lpstr>ДК титул Про</vt:lpstr>
      <vt:lpstr>Легенда Про</vt:lpstr>
      <vt:lpstr>Сектор 0-1 Про ч1</vt:lpstr>
      <vt:lpstr>Сектор 0-1 Про ч2</vt:lpstr>
      <vt:lpstr>Сектор 0-1 Про ч3</vt:lpstr>
      <vt:lpstr>Сектор 1-2 Про</vt:lpstr>
      <vt:lpstr>Сектор 2-3 Про</vt:lpstr>
      <vt:lpstr>Сектор 3-4 Про</vt:lpstr>
      <vt:lpstr>ДК титул лайт</vt:lpstr>
      <vt:lpstr>Легенда Лайт</vt:lpstr>
      <vt:lpstr>Сектор 0-1 Лайт ч1</vt:lpstr>
      <vt:lpstr>Сектор 0-1 Лайт ч2</vt:lpstr>
      <vt:lpstr>Сектор 0-1 Лайт ч3</vt:lpstr>
      <vt:lpstr>Сектор 1-2 Лайт</vt:lpstr>
      <vt:lpstr>Сектор 2-3 Лайт</vt:lpstr>
      <vt:lpstr>Сектор 3-4 Лайт</vt:lpstr>
      <vt:lpstr>Заявка</vt:lpstr>
      <vt:lpstr>Заявки А3</vt:lpstr>
      <vt:lpstr>ш_ТИ</vt:lpstr>
      <vt:lpstr>ш_КВ_старт</vt:lpstr>
      <vt:lpstr>ш_РУ_РД_стБО</vt:lpstr>
      <vt:lpstr>ш_РУ_РД_ф</vt:lpstr>
      <vt:lpstr>ш_РУ_РД_стО</vt:lpstr>
      <vt:lpstr>ш_РУ_РД_ф_2</vt:lpstr>
      <vt:lpstr>ш_КВ_ВКВ_ВКП</vt:lpstr>
      <vt:lpstr>ш_РУ_РД_стО_2</vt:lpstr>
      <vt:lpstr>ш_РУ_РД_ф_3</vt:lpstr>
      <vt:lpstr>ш_КВ_ВКВ_ВКП_2</vt:lpstr>
      <vt:lpstr>ш_СЛ_без приб</vt:lpstr>
      <vt:lpstr>ш_СЛ</vt:lpstr>
      <vt:lpstr>пСекр</vt:lpstr>
      <vt:lpstr>пКВ0</vt:lpstr>
      <vt:lpstr>пКВ1ДС1РДст</vt:lpstr>
      <vt:lpstr>пДС1РДф</vt:lpstr>
      <vt:lpstr>пКВ1ДС2РУст</vt:lpstr>
      <vt:lpstr>пДс2РУф</vt:lpstr>
      <vt:lpstr>пКВ2</vt:lpstr>
      <vt:lpstr>пДС3РДф</vt:lpstr>
      <vt:lpstr>ВКВ1</vt:lpstr>
      <vt:lpstr>ВКВ2</vt:lpstr>
      <vt:lpstr>ВремяВсего</vt:lpstr>
      <vt:lpstr>ВремяЗакрытияПостов</vt:lpstr>
      <vt:lpstr>ВремяОткрытияПостов</vt:lpstr>
      <vt:lpstr>ВремяСтарта</vt:lpstr>
      <vt:lpstr>ДатаРалли</vt:lpstr>
      <vt:lpstr>ДС1</vt:lpstr>
      <vt:lpstr>ДС1Время</vt:lpstr>
      <vt:lpstr>ДС2</vt:lpstr>
      <vt:lpstr>ДС2Время</vt:lpstr>
      <vt:lpstr>ДС2ВремяМин</vt:lpstr>
      <vt:lpstr>ДС3</vt:lpstr>
      <vt:lpstr>ДС3Время</vt:lpstr>
      <vt:lpstr>ДС4</vt:lpstr>
      <vt:lpstr>'Skoda Quest'!Заголовки_для_печати</vt:lpstr>
      <vt:lpstr>'Заявки А3'!Заголовки_для_печати</vt:lpstr>
      <vt:lpstr>Результаты!Заголовки_для_печати</vt:lpstr>
      <vt:lpstr>'Результаты печать'!Заголовки_для_печати</vt:lpstr>
      <vt:lpstr>'Сектор 0-1 Лайт ч1'!Заголовки_для_печати</vt:lpstr>
      <vt:lpstr>'Сектор 0-1 Лайт ч2'!Заголовки_для_печати</vt:lpstr>
      <vt:lpstr>'Сектор 0-1 Лайт ч3'!Заголовки_для_печати</vt:lpstr>
      <vt:lpstr>'Сектор 0-1 Про ч1'!Заголовки_для_печати</vt:lpstr>
      <vt:lpstr>'Сектор 0-1 Про ч2'!Заголовки_для_печати</vt:lpstr>
      <vt:lpstr>'Сектор 0-1 Про ч3'!Заголовки_для_печати</vt:lpstr>
      <vt:lpstr>'Сектор 1-2 Лайт'!Заголовки_для_печати</vt:lpstr>
      <vt:lpstr>'Сектор 1-2 Про'!Заголовки_для_печати</vt:lpstr>
      <vt:lpstr>'Сектор 2-3 Лайт'!Заголовки_для_печати</vt:lpstr>
      <vt:lpstr>'Сектор 2-3 Про'!Заголовки_для_печати</vt:lpstr>
      <vt:lpstr>'Сектор 3-4 Лайт'!Заголовки_для_печати</vt:lpstr>
      <vt:lpstr>'Сектор 3-4 Про'!Заголовки_для_печати</vt:lpstr>
      <vt:lpstr>'Стартовая ведомость'!Заголовки_для_печати</vt:lpstr>
      <vt:lpstr>ш_КВ_ВКВ_ВКП!Заголовки_для_печати</vt:lpstr>
      <vt:lpstr>ш_КВ_ВКВ_ВКП_2!Заголовки_для_печати</vt:lpstr>
      <vt:lpstr>ш_КВ_старт!Заголовки_для_печати</vt:lpstr>
      <vt:lpstr>ш_РУ_РД_стБО!Заголовки_для_печати</vt:lpstr>
      <vt:lpstr>ш_РУ_РД_стО!Заголовки_для_печати</vt:lpstr>
      <vt:lpstr>ш_РУ_РД_стО_2!Заголовки_для_печати</vt:lpstr>
      <vt:lpstr>ш_РУ_РД_ф!Заголовки_для_печати</vt:lpstr>
      <vt:lpstr>ш_РУ_РД_ф_2!Заголовки_для_печати</vt:lpstr>
      <vt:lpstr>ш_РУ_РД_ф_3!Заголовки_для_печати</vt:lpstr>
      <vt:lpstr>ш_СЛ!Заголовки_для_печати</vt:lpstr>
      <vt:lpstr>'ш_СЛ_без приб'!Заголовки_для_печати</vt:lpstr>
      <vt:lpstr>ш_ТИ!Заголовки_для_печати</vt:lpstr>
      <vt:lpstr>ЗадержкаНаКВ</vt:lpstr>
      <vt:lpstr>КВ0</vt:lpstr>
      <vt:lpstr>КВ1</vt:lpstr>
      <vt:lpstr>КВ1Время</vt:lpstr>
      <vt:lpstr>КВ1Расстояние</vt:lpstr>
      <vt:lpstr>КВ1Скорость</vt:lpstr>
      <vt:lpstr>КВ2</vt:lpstr>
      <vt:lpstr>КВ2Время</vt:lpstr>
      <vt:lpstr>КВ2Расстояние</vt:lpstr>
      <vt:lpstr>КВ2Скорость</vt:lpstr>
      <vt:lpstr>КВ3</vt:lpstr>
      <vt:lpstr>КВ3Время</vt:lpstr>
      <vt:lpstr>КВ3Расстояние</vt:lpstr>
      <vt:lpstr>КВ3Скорость</vt:lpstr>
      <vt:lpstr>КВ4</vt:lpstr>
      <vt:lpstr>КВ4Время</vt:lpstr>
      <vt:lpstr>КВ4Расстояние</vt:lpstr>
      <vt:lpstr>КВ4Скорость</vt:lpstr>
      <vt:lpstr>НазваниеКраткое</vt:lpstr>
      <vt:lpstr>НазваниеПолное</vt:lpstr>
      <vt:lpstr>'Skoda Quest'!Область_печати</vt:lpstr>
      <vt:lpstr>'ДК титул Про'!Область_печати</vt:lpstr>
      <vt:lpstr>КВЕСТ!Область_печати</vt:lpstr>
      <vt:lpstr>'Маршрутный лист'!Область_печати</vt:lpstr>
      <vt:lpstr>пДС1РДф!Область_печати</vt:lpstr>
      <vt:lpstr>пДс2РУф!Область_печати</vt:lpstr>
      <vt:lpstr>пДС3РДф!Область_печати</vt:lpstr>
      <vt:lpstr>пКВ1ДС1РДст!Область_печати</vt:lpstr>
      <vt:lpstr>пКВ1ДС2РУст!Область_печати</vt:lpstr>
      <vt:lpstr>пКВ2!Область_печати</vt:lpstr>
      <vt:lpstr>Результаты!Область_печати</vt:lpstr>
      <vt:lpstr>'Результаты печать'!Область_печати</vt:lpstr>
      <vt:lpstr>'Сектор 0-1 Лайт ч1'!Область_печати</vt:lpstr>
      <vt:lpstr>'Сектор 0-1 Лайт ч2'!Область_печати</vt:lpstr>
      <vt:lpstr>'Сектор 0-1 Лайт ч3'!Область_печати</vt:lpstr>
      <vt:lpstr>'Сектор 0-1 Про ч1'!Область_печати</vt:lpstr>
      <vt:lpstr>'Сектор 0-1 Про ч2'!Область_печати</vt:lpstr>
      <vt:lpstr>'Сектор 0-1 Про ч3'!Область_печати</vt:lpstr>
      <vt:lpstr>'Сектор 2-3 Лайт'!Область_печати</vt:lpstr>
      <vt:lpstr>'Сектор 2-3 Про'!Область_печати</vt:lpstr>
      <vt:lpstr>ш_КВ_ВКВ_ВКП!Область_печати</vt:lpstr>
      <vt:lpstr>ш_КВ_ВКВ_ВКП_2!Область_печати</vt:lpstr>
      <vt:lpstr>ш_КВ_старт!Область_печати</vt:lpstr>
      <vt:lpstr>ш_РУ_РД_стБО!Область_печати</vt:lpstr>
      <vt:lpstr>ш_РУ_РД_стО!Область_печати</vt:lpstr>
      <vt:lpstr>ш_РУ_РД_стО_2!Область_печати</vt:lpstr>
      <vt:lpstr>ш_РУ_РД_ф!Область_печати</vt:lpstr>
      <vt:lpstr>ш_РУ_РД_ф_2!Область_печати</vt:lpstr>
      <vt:lpstr>ш_РУ_РД_ф_3!Область_печати</vt:lpstr>
      <vt:lpstr>ш_СЛ!Область_печати</vt:lpstr>
      <vt:lpstr>'ш_СЛ_без приб'!Область_печати</vt:lpstr>
      <vt:lpstr>ш_ТИ!Область_печати</vt:lpstr>
      <vt:lpstr>РасстояниеВсего</vt:lpstr>
      <vt:lpstr>СЛКоэффициент</vt:lpstr>
      <vt:lpstr>ТИ0</vt:lpstr>
      <vt:lpstr>ЧислоЭкипажей</vt:lpstr>
      <vt:lpstr>ШтрафБуква</vt:lpstr>
      <vt:lpstr>ШтрафВскрытыйКонверт</vt:lpstr>
      <vt:lpstr>ШтрафНеостановкаБазойНаСЛ</vt:lpstr>
      <vt:lpstr>ШтрафОпережениеНаВКВ</vt:lpstr>
      <vt:lpstr>ШтрафОпережениеНаКВ</vt:lpstr>
      <vt:lpstr>ШтрафОпережениеНаРУ</vt:lpstr>
      <vt:lpstr>ШтрафОпережениеОтставаниеНаРД</vt:lpstr>
      <vt:lpstr>ШтрафОпозданиеНаКВ</vt:lpstr>
      <vt:lpstr>ШтрафОтставаниеНаРУ</vt:lpstr>
      <vt:lpstr>ШтрафОтсутсвиеОтметкиНаВКВ</vt:lpstr>
      <vt:lpstr>ШтрафПроездСЛНеПоСхеме</vt:lpstr>
      <vt:lpstr>ШтрафПропускДС</vt:lpstr>
      <vt:lpstr>ШтрафПропускКВ</vt:lpstr>
      <vt:lpstr>ШтрафПропускКП</vt:lpstr>
      <vt:lpstr>ШтрафПропускФКП</vt:lpstr>
      <vt:lpstr>ШтрафСбитыйКонусНаСЛ</vt:lpstr>
      <vt:lpstr>ШтрафФальстартНаДС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</dc:creator>
  <cp:lastModifiedBy>Алексей</cp:lastModifiedBy>
  <cp:lastPrinted>2017-12-16T14:51:09Z</cp:lastPrinted>
  <dcterms:created xsi:type="dcterms:W3CDTF">2016-06-12T22:47:51Z</dcterms:created>
  <dcterms:modified xsi:type="dcterms:W3CDTF">2017-12-17T11:17:36Z</dcterms:modified>
</cp:coreProperties>
</file>