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Светлана\Desktop\"/>
    </mc:Choice>
  </mc:AlternateContent>
  <bookViews>
    <workbookView xWindow="0" yWindow="0" windowWidth="24000" windowHeight="9045" firstSheet="25" activeTab="28"/>
  </bookViews>
  <sheets>
    <sheet name="Восточная" sheetId="55" r:id="rId1"/>
    <sheet name="Северная" sheetId="50" r:id="rId2"/>
    <sheet name="Южная" sheetId="54" r:id="rId3"/>
    <sheet name="Маршрутный лист" sheetId="9" r:id="rId4"/>
    <sheet name="Контрольная карта" sheetId="7" r:id="rId5"/>
    <sheet name="ДК титул Про" sheetId="60" r:id="rId6"/>
    <sheet name="Легенда Про" sheetId="40" r:id="rId7"/>
    <sheet name="КВ0-КВ1 Про" sheetId="58" r:id="rId8"/>
    <sheet name="КВ1-КВ2 Про" sheetId="53" r:id="rId9"/>
    <sheet name="КВ2-КВ3 Про" sheetId="59" r:id="rId10"/>
    <sheet name="ДК титул лайт" sheetId="39" r:id="rId11"/>
    <sheet name="Легенда Лайт" sheetId="69" r:id="rId12"/>
    <sheet name="КВ0-КВ1 Лайт" sheetId="70" r:id="rId13"/>
    <sheet name="КВ1-КВ2 Лайт" sheetId="71" r:id="rId14"/>
    <sheet name="КВ2-КВ3 Лайт" sheetId="72" r:id="rId15"/>
    <sheet name="Заявка" sheetId="34" r:id="rId16"/>
    <sheet name="Заявки А3" sheetId="45" r:id="rId17"/>
    <sheet name="Стартовый протокол" sheetId="47" r:id="rId18"/>
    <sheet name="Протоколы ТИ" sheetId="10" r:id="rId19"/>
    <sheet name="Протоколы КВ старт" sheetId="63" r:id="rId20"/>
    <sheet name="Протоколы КВ" sheetId="51" r:id="rId21"/>
    <sheet name="Протоколы ВКП" sheetId="67" r:id="rId22"/>
    <sheet name="Протоколы ВКВ" sheetId="46" r:id="rId23"/>
    <sheet name="Протоколы РУ РД старт с отметко" sheetId="30" r:id="rId24"/>
    <sheet name="Протоколы РУ финиш" sheetId="48" r:id="rId25"/>
    <sheet name="Протоколы РД финиш" sheetId="31" r:id="rId26"/>
    <sheet name="Протоколы СЛ" sheetId="25" r:id="rId27"/>
    <sheet name="Общее" sheetId="26" r:id="rId28"/>
    <sheet name="Подсчет результатов ралли (2)" sheetId="73" r:id="rId29"/>
    <sheet name="Подсчет результатов ралли" sheetId="8" r:id="rId30"/>
    <sheet name="ДС-1 РД" sheetId="64" r:id="rId31"/>
    <sheet name="ДС-4 РД" sheetId="65" r:id="rId32"/>
    <sheet name="ДС-5 РД" sheetId="66" r:id="rId33"/>
    <sheet name="Замена РК Про" sheetId="68" r:id="rId34"/>
    <sheet name="Протоколы РУ РД старт без отмет" sheetId="49" r:id="rId35"/>
    <sheet name="Стр x А3" sheetId="32" r:id="rId36"/>
    <sheet name="КВ0-КВ1 Про (2)" sheetId="62" r:id="rId37"/>
    <sheet name="КВ2-КВ3 Про (2)" sheetId="61" r:id="rId38"/>
  </sheets>
  <definedNames>
    <definedName name="ВКВ1">'Маршрутный лист'!$A$17</definedName>
    <definedName name="ВКВ1Расстояние">'Маршрутный лист'!$D$17</definedName>
    <definedName name="ВКП1">'Маршрутный лист'!$A$18</definedName>
    <definedName name="ВосточнаяРасстояние">Восточная!$B$9</definedName>
    <definedName name="ВремяВсего">'Маршрутный лист'!$E$19</definedName>
    <definedName name="ВремяЗакрытияПостов">Общее!$B$6</definedName>
    <definedName name="ВремяОткрытияПостов">Общее!$B$5</definedName>
    <definedName name="ВремяСтарта">Общее!$B$7</definedName>
    <definedName name="ДатаРалли">Общее!$B$3</definedName>
    <definedName name="ДС1">'Маршрутный лист'!$A$8</definedName>
    <definedName name="ДС1Время">'Маршрутный лист'!$I$8</definedName>
    <definedName name="ДС2">'Маршрутный лист'!$A$9</definedName>
    <definedName name="ДС2Время">'Маршрутный лист'!$I$9</definedName>
    <definedName name="ДС2Мин">'Маршрутный лист'!$L$9</definedName>
    <definedName name="ДС2Расстояние">'Маршрутный лист'!$H$9</definedName>
    <definedName name="ДС3">'Маршрутный лист'!$A$11</definedName>
    <definedName name="ДС3Время">'Маршрутный лист'!$I$11</definedName>
    <definedName name="ДС3Мин">'Маршрутный лист'!$L$11</definedName>
    <definedName name="ДС3Расстояние">'Маршрутный лист'!$H$11</definedName>
    <definedName name="ДС4">'Маршрутный лист'!$A$12</definedName>
    <definedName name="ДС4Время">'Маршрутный лист'!$I$12</definedName>
    <definedName name="ДС5">'Маршрутный лист'!$A$14</definedName>
    <definedName name="ДС5Время">'Маршрутный лист'!$I$14</definedName>
    <definedName name="ДС6">'Маршрутный лист'!$A$16</definedName>
    <definedName name="_xlnm.Print_Titles" localSheetId="0">Восточная!$1:$4</definedName>
    <definedName name="_xlnm.Print_Titles" localSheetId="16">'Заявки А3'!$1:$4</definedName>
    <definedName name="_xlnm.Print_Titles" localSheetId="12">'КВ0-КВ1 Лайт'!$1:$4</definedName>
    <definedName name="_xlnm.Print_Titles" localSheetId="7">'КВ0-КВ1 Про'!$1:$4</definedName>
    <definedName name="_xlnm.Print_Titles" localSheetId="36">'КВ0-КВ1 Про (2)'!$1:$4</definedName>
    <definedName name="_xlnm.Print_Titles" localSheetId="13">'КВ1-КВ2 Лайт'!$1:$4</definedName>
    <definedName name="_xlnm.Print_Titles" localSheetId="8">'КВ1-КВ2 Про'!$1:$4</definedName>
    <definedName name="_xlnm.Print_Titles" localSheetId="14">'КВ2-КВ3 Лайт'!$1:$4</definedName>
    <definedName name="_xlnm.Print_Titles" localSheetId="9">'КВ2-КВ3 Про'!$1:$4</definedName>
    <definedName name="_xlnm.Print_Titles" localSheetId="37">'КВ2-КВ3 Про (2)'!$1:$4</definedName>
    <definedName name="_xlnm.Print_Titles" localSheetId="1">Северная!$1:$4</definedName>
    <definedName name="_xlnm.Print_Titles" localSheetId="17">'Стартовый протокол'!$1:$4</definedName>
    <definedName name="_xlnm.Print_Titles" localSheetId="2">Южная!$1:$4</definedName>
    <definedName name="ЗадержкаНаКВ">Общее!$B$8</definedName>
    <definedName name="КВ0">'Маршрутный лист'!$A$7</definedName>
    <definedName name="КВ1">'Маршрутный лист'!$A$10</definedName>
    <definedName name="КВ1Время">'Маршрутный лист'!$E$10</definedName>
    <definedName name="КВ1Расстояние">'Маршрутный лист'!$D$10</definedName>
    <definedName name="КВ1Скорость">'Маршрутный лист'!$F$10</definedName>
    <definedName name="КВ2">'Маршрутный лист'!$A$13</definedName>
    <definedName name="КВ2Время">'Маршрутный лист'!$E$13</definedName>
    <definedName name="КВ2Расстояние">'Маршрутный лист'!$D$13</definedName>
    <definedName name="КВ2Скорость">'Маршрутный лист'!$F$13</definedName>
    <definedName name="КВ3">'Маршрутный лист'!$A$15</definedName>
    <definedName name="КВ3Время">'Маршрутный лист'!$E$15</definedName>
    <definedName name="КВ3Расстояние">'Маршрутный лист'!$D$15</definedName>
    <definedName name="КВ3Скорость">'Маршрутный лист'!$F$15</definedName>
    <definedName name="НазваниеКраткое">Общее!$B$2</definedName>
    <definedName name="НазваниеПолное">Общее!$B$1</definedName>
    <definedName name="_xlnm.Print_Area" localSheetId="5">'ДК титул Про'!$A$1:$J$51</definedName>
    <definedName name="_xlnm.Print_Area" localSheetId="33">'Замена РК Про'!$A$1:$D$9</definedName>
    <definedName name="_xlnm.Print_Area" localSheetId="12">'КВ0-КВ1 Лайт'!$A$1:$G$64</definedName>
    <definedName name="_xlnm.Print_Area" localSheetId="7">'КВ0-КВ1 Про'!$A$1:$G$58</definedName>
    <definedName name="_xlnm.Print_Area" localSheetId="13">'КВ1-КВ2 Лайт'!$A$1:$G$43</definedName>
    <definedName name="_xlnm.Print_Area" localSheetId="8">'КВ1-КВ2 Про'!$A$1:$G$43</definedName>
    <definedName name="_xlnm.Print_Area" localSheetId="14">'КВ2-КВ3 Лайт'!$A$1:$G$42</definedName>
    <definedName name="_xlnm.Print_Area" localSheetId="9">'КВ2-КВ3 Про'!$A$1:$G$42</definedName>
    <definedName name="_xlnm.Print_Area" localSheetId="37">'КВ2-КВ3 Про (2)'!$A$1:$G$31</definedName>
    <definedName name="_xlnm.Print_Area" localSheetId="3">'Маршрутный лист'!$A$1:$J$32</definedName>
    <definedName name="_xlnm.Print_Area" localSheetId="29">'Подсчет результатов ралли'!$A$1:$CZ$34</definedName>
    <definedName name="_xlnm.Print_Area" localSheetId="28">'Подсчет результатов ралли (2)'!$A$1:$CZ$34</definedName>
    <definedName name="_xlnm.Print_Area" localSheetId="22">'Протоколы ВКВ'!$A$1:$I$32</definedName>
    <definedName name="_xlnm.Print_Area" localSheetId="21">'Протоколы ВКП'!$A$1:$I$32</definedName>
    <definedName name="_xlnm.Print_Area" localSheetId="20">'Протоколы КВ'!$A$1:$I$64</definedName>
    <definedName name="_xlnm.Print_Area" localSheetId="19">'Протоколы КВ старт'!$A$1:$I$64</definedName>
    <definedName name="_xlnm.Print_Area" localSheetId="25">'Протоколы РД финиш'!$A$1:$I$96</definedName>
    <definedName name="_xlnm.Print_Area" localSheetId="34">'Протоколы РУ РД старт без отмет'!$A$1:$I$32</definedName>
    <definedName name="_xlnm.Print_Area" localSheetId="23">'Протоколы РУ РД старт с отметко'!$A$1:$I$128</definedName>
    <definedName name="_xlnm.Print_Area" localSheetId="24">'Протоколы РУ финиш'!$A$1:$I$64</definedName>
    <definedName name="_xlnm.Print_Area" localSheetId="26">'Протоколы СЛ'!$A$1:$N$21</definedName>
    <definedName name="_xlnm.Print_Area" localSheetId="18">'Протоколы ТИ'!$A$1:$I$31</definedName>
    <definedName name="РасстояниеВсего">'Маршрутный лист'!$D$19</definedName>
    <definedName name="СевернаяРасстояние">Северная!$B$12</definedName>
    <definedName name="СЛКоэффициент">Общее!$B$52</definedName>
    <definedName name="ТИ0">'Маршрутный лист'!$A$6</definedName>
    <definedName name="ЧислоЭкипажей">Общее!$B$4</definedName>
    <definedName name="ШтрафБуква">Общее!$B$43</definedName>
    <definedName name="ШтрафВскрытыйКонверт">Общее!$B$39</definedName>
    <definedName name="ШтрафНеостановкаБазойНаСЛ">Общее!$B$55</definedName>
    <definedName name="ШтрафОпережениеНаВКВ">Общее!$B$40</definedName>
    <definedName name="ШтрафОпережениеНаКВ">Общее!$B$37</definedName>
    <definedName name="ШтрафОпережениеНаРУ">Общее!$B$50</definedName>
    <definedName name="ШтрафОпережениеОтставаниеНаРД">Общее!$B$49</definedName>
    <definedName name="ШтрафОпозданиеНаКВ">Общее!$B$36</definedName>
    <definedName name="ШтрафОтставаниеНаРУ">Общее!$B$51</definedName>
    <definedName name="ШтрафОтсутсвиеОтметкиНаВКВ">Общее!$B$41</definedName>
    <definedName name="ШтрафПроездСЛНеПоСхеме">Общее!$B$53</definedName>
    <definedName name="ШтрафПропускКВ">Общее!$B$38</definedName>
    <definedName name="ШтрафПропускКП">Общее!$B$44</definedName>
    <definedName name="ШтрафПропускФКП">Общее!$B$44</definedName>
    <definedName name="ШтрафСбитыйКонусНаСЛ">Общее!$B$54</definedName>
    <definedName name="ШтрафФальстартНаДС">Общее!$B$48</definedName>
    <definedName name="ЮжнаяРасстояние">Южная!$B$11</definedName>
  </definedNames>
  <calcPr calcId="162913"/>
</workbook>
</file>

<file path=xl/calcChain.xml><?xml version="1.0" encoding="utf-8"?>
<calcChain xmlns="http://schemas.openxmlformats.org/spreadsheetml/2006/main">
  <c r="AW10" i="73" l="1"/>
  <c r="CI13" i="73"/>
  <c r="AR7" i="73" l="1"/>
  <c r="AR8" i="73"/>
  <c r="AR9" i="73"/>
  <c r="AR10" i="73"/>
  <c r="AR11" i="73"/>
  <c r="AR12" i="73"/>
  <c r="AR13" i="73"/>
  <c r="AR14" i="73"/>
  <c r="AR15" i="73"/>
  <c r="AR16" i="73"/>
  <c r="AR17" i="73"/>
  <c r="AR18" i="73"/>
  <c r="AR19" i="73"/>
  <c r="AR20" i="73"/>
  <c r="AR21" i="73"/>
  <c r="AS21" i="73" s="1"/>
  <c r="AU21" i="73" s="1"/>
  <c r="AW21" i="73" s="1"/>
  <c r="AR22" i="73"/>
  <c r="AR23" i="73"/>
  <c r="AR24" i="73"/>
  <c r="AR25" i="73"/>
  <c r="AS25" i="73" s="1"/>
  <c r="AU25" i="73" s="1"/>
  <c r="AR26" i="73"/>
  <c r="AR27" i="73"/>
  <c r="AR28" i="73"/>
  <c r="AR29" i="73"/>
  <c r="AR30" i="73"/>
  <c r="AR31" i="73"/>
  <c r="AR32" i="73"/>
  <c r="AR33" i="73"/>
  <c r="AR34" i="73"/>
  <c r="AW18" i="8"/>
  <c r="CI13" i="8"/>
  <c r="CY35" i="73"/>
  <c r="CU35" i="73"/>
  <c r="CN35" i="73"/>
  <c r="CF35" i="73"/>
  <c r="CB35" i="73"/>
  <c r="BW35" i="73"/>
  <c r="BS35" i="73"/>
  <c r="BN35" i="73"/>
  <c r="BI35" i="73"/>
  <c r="BH35" i="73"/>
  <c r="BD35" i="73"/>
  <c r="AY35" i="73"/>
  <c r="AT35" i="73"/>
  <c r="AK35" i="73"/>
  <c r="AF35" i="73"/>
  <c r="AC35" i="73"/>
  <c r="V35" i="73"/>
  <c r="CZ34" i="73"/>
  <c r="CX34" i="73"/>
  <c r="CO34" i="73"/>
  <c r="CL34" i="73"/>
  <c r="CK34" i="73"/>
  <c r="CD34" i="73"/>
  <c r="CE34" i="73" s="1"/>
  <c r="CG34" i="73" s="1"/>
  <c r="CI34" i="73" s="1"/>
  <c r="CC34" i="73"/>
  <c r="Z34" i="73" s="1"/>
  <c r="BX34" i="73"/>
  <c r="BZ34" i="73" s="1"/>
  <c r="BU34" i="73"/>
  <c r="BV34" i="73" s="1"/>
  <c r="BT34" i="73"/>
  <c r="T34" i="73" s="1"/>
  <c r="BL34" i="73"/>
  <c r="BM34" i="73" s="1"/>
  <c r="BO34" i="73" s="1"/>
  <c r="BQ34" i="73" s="1"/>
  <c r="BK34" i="73"/>
  <c r="BJ34" i="73"/>
  <c r="BC34" i="73"/>
  <c r="BE34" i="73" s="1"/>
  <c r="BG34" i="73" s="1"/>
  <c r="BB34" i="73"/>
  <c r="BA34" i="73"/>
  <c r="AZ34" i="73"/>
  <c r="AQ34" i="73"/>
  <c r="N34" i="73" s="1"/>
  <c r="AP34" i="73"/>
  <c r="AH34" i="73"/>
  <c r="AI34" i="73" s="1"/>
  <c r="AG34" i="73"/>
  <c r="Y34" i="73"/>
  <c r="AB34" i="73" s="1"/>
  <c r="S34" i="73"/>
  <c r="M34" i="73"/>
  <c r="O34" i="73" s="1"/>
  <c r="P34" i="73" s="1"/>
  <c r="Q34" i="73" s="1"/>
  <c r="CZ33" i="73"/>
  <c r="CX33" i="73"/>
  <c r="CO33" i="73"/>
  <c r="CL33" i="73"/>
  <c r="CK33" i="73"/>
  <c r="CT33" i="73" s="1"/>
  <c r="CD33" i="73"/>
  <c r="CE33" i="73" s="1"/>
  <c r="CG33" i="73" s="1"/>
  <c r="CI33" i="73" s="1"/>
  <c r="CC33" i="73"/>
  <c r="BV33" i="73"/>
  <c r="BX33" i="73" s="1"/>
  <c r="BZ33" i="73" s="1"/>
  <c r="BU33" i="73"/>
  <c r="BT33" i="73"/>
  <c r="BL33" i="73"/>
  <c r="BM33" i="73" s="1"/>
  <c r="BO33" i="73" s="1"/>
  <c r="BQ33" i="73" s="1"/>
  <c r="BK33" i="73"/>
  <c r="BJ33" i="73"/>
  <c r="T33" i="73" s="1"/>
  <c r="BB33" i="73"/>
  <c r="BC33" i="73" s="1"/>
  <c r="BE33" i="73" s="1"/>
  <c r="BA33" i="73"/>
  <c r="AZ33" i="73"/>
  <c r="AQ33" i="73"/>
  <c r="AP33" i="73"/>
  <c r="AI33" i="73"/>
  <c r="AH33" i="73"/>
  <c r="AG33" i="73"/>
  <c r="Z33" i="73"/>
  <c r="Y33" i="73"/>
  <c r="S33" i="73"/>
  <c r="N33" i="73"/>
  <c r="M33" i="73"/>
  <c r="O33" i="73" s="1"/>
  <c r="P33" i="73" s="1"/>
  <c r="CZ32" i="73"/>
  <c r="CX32" i="73"/>
  <c r="CT32" i="73"/>
  <c r="CO32" i="73"/>
  <c r="CL32" i="73"/>
  <c r="CK32" i="73"/>
  <c r="CI32" i="73"/>
  <c r="CE32" i="73"/>
  <c r="CG32" i="73" s="1"/>
  <c r="CD32" i="73"/>
  <c r="CC32" i="73"/>
  <c r="Z32" i="73" s="1"/>
  <c r="BU32" i="73"/>
  <c r="BV32" i="73" s="1"/>
  <c r="BX32" i="73" s="1"/>
  <c r="BZ32" i="73" s="1"/>
  <c r="BT32" i="73"/>
  <c r="BM32" i="73"/>
  <c r="BO32" i="73" s="1"/>
  <c r="BQ32" i="73" s="1"/>
  <c r="BL32" i="73"/>
  <c r="BK32" i="73"/>
  <c r="BJ32" i="73"/>
  <c r="BB32" i="73"/>
  <c r="BC32" i="73" s="1"/>
  <c r="BE32" i="73" s="1"/>
  <c r="BG32" i="73" s="1"/>
  <c r="BA32" i="73"/>
  <c r="AZ32" i="73"/>
  <c r="AQ32" i="73"/>
  <c r="N32" i="73" s="1"/>
  <c r="AP32" i="73"/>
  <c r="AS32" i="73" s="1"/>
  <c r="AU32" i="73" s="1"/>
  <c r="AW32" i="73" s="1"/>
  <c r="AH32" i="73"/>
  <c r="AI32" i="73" s="1"/>
  <c r="AG32" i="73"/>
  <c r="AB32" i="73"/>
  <c r="AA32" i="73"/>
  <c r="AD32" i="73" s="1"/>
  <c r="AE32" i="73" s="1"/>
  <c r="Y32" i="73"/>
  <c r="S32" i="73"/>
  <c r="O32" i="73"/>
  <c r="P32" i="73" s="1"/>
  <c r="M32" i="73"/>
  <c r="CZ31" i="73"/>
  <c r="CX31" i="73"/>
  <c r="CO31" i="73"/>
  <c r="CL31" i="73"/>
  <c r="CK31" i="73"/>
  <c r="CD31" i="73"/>
  <c r="CE31" i="73" s="1"/>
  <c r="CG31" i="73" s="1"/>
  <c r="CI31" i="73" s="1"/>
  <c r="CC31" i="73"/>
  <c r="Z31" i="73" s="1"/>
  <c r="BZ31" i="73"/>
  <c r="BV31" i="73"/>
  <c r="BX31" i="73" s="1"/>
  <c r="BU31" i="73"/>
  <c r="BT31" i="73"/>
  <c r="T31" i="73" s="1"/>
  <c r="BL31" i="73"/>
  <c r="BM31" i="73" s="1"/>
  <c r="BO31" i="73" s="1"/>
  <c r="BQ31" i="73" s="1"/>
  <c r="BK31" i="73"/>
  <c r="BJ31" i="73"/>
  <c r="BB31" i="73"/>
  <c r="BC31" i="73" s="1"/>
  <c r="BE31" i="73" s="1"/>
  <c r="BG31" i="73" s="1"/>
  <c r="BA31" i="73"/>
  <c r="AZ31" i="73"/>
  <c r="AQ31" i="73"/>
  <c r="AP31" i="73"/>
  <c r="AS31" i="73" s="1"/>
  <c r="AU31" i="73" s="1"/>
  <c r="AI31" i="73"/>
  <c r="AH31" i="73"/>
  <c r="AG31" i="73"/>
  <c r="AA31" i="73"/>
  <c r="Y31" i="73"/>
  <c r="AB31" i="73" s="1"/>
  <c r="S31" i="73"/>
  <c r="N31" i="73"/>
  <c r="M31" i="73"/>
  <c r="O31" i="73" s="1"/>
  <c r="P31" i="73" s="1"/>
  <c r="CZ30" i="73"/>
  <c r="CX30" i="73"/>
  <c r="CT30" i="73"/>
  <c r="CO30" i="73"/>
  <c r="CL30" i="73"/>
  <c r="CK30" i="73"/>
  <c r="CE30" i="73"/>
  <c r="CG30" i="73" s="1"/>
  <c r="CI30" i="73" s="1"/>
  <c r="CD30" i="73"/>
  <c r="CC30" i="73"/>
  <c r="BU30" i="73"/>
  <c r="BV30" i="73" s="1"/>
  <c r="BX30" i="73" s="1"/>
  <c r="BZ30" i="73" s="1"/>
  <c r="BT30" i="73"/>
  <c r="BM30" i="73"/>
  <c r="BO30" i="73" s="1"/>
  <c r="BL30" i="73"/>
  <c r="BK30" i="73"/>
  <c r="BQ30" i="73" s="1"/>
  <c r="BJ30" i="73"/>
  <c r="BC30" i="73"/>
  <c r="BE30" i="73" s="1"/>
  <c r="BB30" i="73"/>
  <c r="BA30" i="73"/>
  <c r="AZ30" i="73"/>
  <c r="AQ30" i="73"/>
  <c r="AP30" i="73"/>
  <c r="AS30" i="73" s="1"/>
  <c r="AU30" i="73" s="1"/>
  <c r="AW30" i="73" s="1"/>
  <c r="AJ30" i="73"/>
  <c r="AM30" i="73" s="1"/>
  <c r="AN30" i="73" s="1"/>
  <c r="AH30" i="73"/>
  <c r="AI30" i="73" s="1"/>
  <c r="AG30" i="73"/>
  <c r="AB30" i="73"/>
  <c r="Z30" i="73"/>
  <c r="Y30" i="73"/>
  <c r="AA30" i="73" s="1"/>
  <c r="AD30" i="73" s="1"/>
  <c r="T30" i="73"/>
  <c r="S30" i="73"/>
  <c r="O30" i="73"/>
  <c r="P30" i="73" s="1"/>
  <c r="U30" i="73" s="1"/>
  <c r="M30" i="73"/>
  <c r="CZ29" i="73"/>
  <c r="CX29" i="73"/>
  <c r="CO29" i="73"/>
  <c r="CL29" i="73"/>
  <c r="CK29" i="73"/>
  <c r="CT29" i="73" s="1"/>
  <c r="CG29" i="73"/>
  <c r="CI29" i="73" s="1"/>
  <c r="CD29" i="73"/>
  <c r="CE29" i="73" s="1"/>
  <c r="CC29" i="73"/>
  <c r="Z29" i="73" s="1"/>
  <c r="BV29" i="73"/>
  <c r="BX29" i="73" s="1"/>
  <c r="BZ29" i="73" s="1"/>
  <c r="BU29" i="73"/>
  <c r="BT29" i="73"/>
  <c r="BL29" i="73"/>
  <c r="BM29" i="73" s="1"/>
  <c r="BO29" i="73" s="1"/>
  <c r="BQ29" i="73" s="1"/>
  <c r="BK29" i="73"/>
  <c r="BJ29" i="73"/>
  <c r="T29" i="73" s="1"/>
  <c r="BB29" i="73"/>
  <c r="BC29" i="73" s="1"/>
  <c r="BE29" i="73" s="1"/>
  <c r="BG29" i="73" s="1"/>
  <c r="BA29" i="73"/>
  <c r="AZ29" i="73"/>
  <c r="AQ29" i="73"/>
  <c r="N29" i="73" s="1"/>
  <c r="AP29" i="73"/>
  <c r="AH29" i="73"/>
  <c r="AI29" i="73" s="1"/>
  <c r="AG29" i="73"/>
  <c r="AA29" i="73"/>
  <c r="Y29" i="73"/>
  <c r="AB29" i="73" s="1"/>
  <c r="S29" i="73"/>
  <c r="M29" i="73"/>
  <c r="O29" i="73" s="1"/>
  <c r="P29" i="73" s="1"/>
  <c r="CZ28" i="73"/>
  <c r="CX28" i="73"/>
  <c r="CO28" i="73"/>
  <c r="CL28" i="73"/>
  <c r="CK28" i="73"/>
  <c r="CT28" i="73" s="1"/>
  <c r="CD28" i="73"/>
  <c r="CE28" i="73" s="1"/>
  <c r="CG28" i="73" s="1"/>
  <c r="CI28" i="73" s="1"/>
  <c r="CC28" i="73"/>
  <c r="Z28" i="73" s="1"/>
  <c r="BU28" i="73"/>
  <c r="BV28" i="73" s="1"/>
  <c r="BX28" i="73" s="1"/>
  <c r="BZ28" i="73" s="1"/>
  <c r="BT28" i="73"/>
  <c r="BQ28" i="73"/>
  <c r="BM28" i="73"/>
  <c r="BO28" i="73" s="1"/>
  <c r="BL28" i="73"/>
  <c r="BK28" i="73"/>
  <c r="BJ28" i="73"/>
  <c r="BC28" i="73"/>
  <c r="BE28" i="73" s="1"/>
  <c r="BG28" i="73" s="1"/>
  <c r="BB28" i="73"/>
  <c r="BA28" i="73"/>
  <c r="AZ28" i="73"/>
  <c r="AQ28" i="73"/>
  <c r="AP28" i="73"/>
  <c r="AH28" i="73"/>
  <c r="AI28" i="73" s="1"/>
  <c r="AG28" i="73"/>
  <c r="Y28" i="73"/>
  <c r="AB28" i="73" s="1"/>
  <c r="S28" i="73"/>
  <c r="O28" i="73"/>
  <c r="P28" i="73" s="1"/>
  <c r="AJ28" i="73" s="1"/>
  <c r="AM28" i="73" s="1"/>
  <c r="AN28" i="73" s="1"/>
  <c r="M28" i="73"/>
  <c r="CZ27" i="73"/>
  <c r="CX27" i="73"/>
  <c r="CO27" i="73"/>
  <c r="CL27" i="73"/>
  <c r="CK27" i="73"/>
  <c r="CD27" i="73"/>
  <c r="CE27" i="73" s="1"/>
  <c r="CG27" i="73" s="1"/>
  <c r="CI27" i="73" s="1"/>
  <c r="CC27" i="73"/>
  <c r="Z27" i="73" s="1"/>
  <c r="BV27" i="73"/>
  <c r="BX27" i="73" s="1"/>
  <c r="BZ27" i="73" s="1"/>
  <c r="BU27" i="73"/>
  <c r="BT27" i="73"/>
  <c r="BL27" i="73"/>
  <c r="BM27" i="73" s="1"/>
  <c r="BO27" i="73" s="1"/>
  <c r="BK27" i="73"/>
  <c r="BJ27" i="73"/>
  <c r="BB27" i="73"/>
  <c r="BC27" i="73" s="1"/>
  <c r="BE27" i="73" s="1"/>
  <c r="BA27" i="73"/>
  <c r="AZ27" i="73"/>
  <c r="AQ27" i="73"/>
  <c r="AP27" i="73"/>
  <c r="AI27" i="73"/>
  <c r="AH27" i="73"/>
  <c r="AG27" i="73"/>
  <c r="Y27" i="73"/>
  <c r="AB27" i="73" s="1"/>
  <c r="T27" i="73"/>
  <c r="S27" i="73"/>
  <c r="M27" i="73"/>
  <c r="O27" i="73" s="1"/>
  <c r="P27" i="73" s="1"/>
  <c r="CZ26" i="73"/>
  <c r="CX26" i="73"/>
  <c r="CO26" i="73"/>
  <c r="CL26" i="73"/>
  <c r="CK26" i="73"/>
  <c r="CT26" i="73" s="1"/>
  <c r="CD26" i="73"/>
  <c r="CE26" i="73" s="1"/>
  <c r="CG26" i="73" s="1"/>
  <c r="CI26" i="73" s="1"/>
  <c r="CC26" i="73"/>
  <c r="Z26" i="73" s="1"/>
  <c r="BU26" i="73"/>
  <c r="BV26" i="73" s="1"/>
  <c r="BX26" i="73" s="1"/>
  <c r="BZ26" i="73" s="1"/>
  <c r="BT26" i="73"/>
  <c r="BL26" i="73"/>
  <c r="BM26" i="73" s="1"/>
  <c r="BO26" i="73" s="1"/>
  <c r="BQ26" i="73" s="1"/>
  <c r="BK26" i="73"/>
  <c r="BJ26" i="73"/>
  <c r="BB26" i="73"/>
  <c r="BC26" i="73" s="1"/>
  <c r="BE26" i="73" s="1"/>
  <c r="BA26" i="73"/>
  <c r="AZ26" i="73"/>
  <c r="AQ26" i="73"/>
  <c r="AP26" i="73"/>
  <c r="AJ26" i="73"/>
  <c r="AM26" i="73" s="1"/>
  <c r="AN26" i="73" s="1"/>
  <c r="AH26" i="73"/>
  <c r="AI26" i="73" s="1"/>
  <c r="AG26" i="73"/>
  <c r="Y26" i="73"/>
  <c r="T26" i="73"/>
  <c r="S26" i="73"/>
  <c r="M26" i="73"/>
  <c r="O26" i="73" s="1"/>
  <c r="P26" i="73" s="1"/>
  <c r="CZ25" i="73"/>
  <c r="CX25" i="73"/>
  <c r="CO25" i="73"/>
  <c r="CL25" i="73"/>
  <c r="CK25" i="73"/>
  <c r="CG25" i="73"/>
  <c r="CI25" i="73" s="1"/>
  <c r="CD25" i="73"/>
  <c r="CE25" i="73" s="1"/>
  <c r="CC25" i="73"/>
  <c r="BU25" i="73"/>
  <c r="BV25" i="73" s="1"/>
  <c r="BX25" i="73" s="1"/>
  <c r="BZ25" i="73" s="1"/>
  <c r="BT25" i="73"/>
  <c r="BM25" i="73"/>
  <c r="BO25" i="73" s="1"/>
  <c r="BL25" i="73"/>
  <c r="BK25" i="73"/>
  <c r="BJ25" i="73"/>
  <c r="BB25" i="73"/>
  <c r="BC25" i="73" s="1"/>
  <c r="BE25" i="73" s="1"/>
  <c r="BG25" i="73" s="1"/>
  <c r="BA25" i="73"/>
  <c r="AZ25" i="73"/>
  <c r="N25" i="73" s="1"/>
  <c r="AQ25" i="73"/>
  <c r="AP25" i="73"/>
  <c r="AI25" i="73"/>
  <c r="AH25" i="73"/>
  <c r="AG25" i="73"/>
  <c r="Z25" i="73"/>
  <c r="Y25" i="73"/>
  <c r="AA25" i="73" s="1"/>
  <c r="S25" i="73"/>
  <c r="M25" i="73"/>
  <c r="O25" i="73" s="1"/>
  <c r="P25" i="73" s="1"/>
  <c r="CZ24" i="73"/>
  <c r="CX24" i="73"/>
  <c r="CO24" i="73"/>
  <c r="CL24" i="73"/>
  <c r="CK24" i="73"/>
  <c r="CT24" i="73" s="1"/>
  <c r="CD24" i="73"/>
  <c r="CE24" i="73" s="1"/>
  <c r="CG24" i="73" s="1"/>
  <c r="CI24" i="73" s="1"/>
  <c r="CC24" i="73"/>
  <c r="Z24" i="73" s="1"/>
  <c r="BU24" i="73"/>
  <c r="BV24" i="73" s="1"/>
  <c r="BX24" i="73" s="1"/>
  <c r="BZ24" i="73" s="1"/>
  <c r="BT24" i="73"/>
  <c r="BL24" i="73"/>
  <c r="BM24" i="73" s="1"/>
  <c r="BO24" i="73" s="1"/>
  <c r="BQ24" i="73" s="1"/>
  <c r="BK24" i="73"/>
  <c r="BJ24" i="73"/>
  <c r="T24" i="73" s="1"/>
  <c r="BB24" i="73"/>
  <c r="BC24" i="73" s="1"/>
  <c r="BE24" i="73" s="1"/>
  <c r="BG24" i="73" s="1"/>
  <c r="BA24" i="73"/>
  <c r="AZ24" i="73"/>
  <c r="AQ24" i="73"/>
  <c r="N24" i="73" s="1"/>
  <c r="AP24" i="73"/>
  <c r="AI24" i="73"/>
  <c r="AH24" i="73"/>
  <c r="AG24" i="73"/>
  <c r="Y24" i="73"/>
  <c r="S24" i="73"/>
  <c r="P24" i="73"/>
  <c r="O24" i="73"/>
  <c r="M24" i="73"/>
  <c r="CZ23" i="73"/>
  <c r="CX23" i="73"/>
  <c r="CO23" i="73"/>
  <c r="CL23" i="73"/>
  <c r="CK23" i="73"/>
  <c r="CT23" i="73" s="1"/>
  <c r="CE23" i="73"/>
  <c r="CG23" i="73" s="1"/>
  <c r="CI23" i="73" s="1"/>
  <c r="CD23" i="73"/>
  <c r="CC23" i="73"/>
  <c r="Z23" i="73" s="1"/>
  <c r="AE23" i="73" s="1"/>
  <c r="BU23" i="73"/>
  <c r="BV23" i="73" s="1"/>
  <c r="BX23" i="73" s="1"/>
  <c r="BZ23" i="73" s="1"/>
  <c r="BT23" i="73"/>
  <c r="T23" i="73" s="1"/>
  <c r="BM23" i="73"/>
  <c r="BO23" i="73" s="1"/>
  <c r="BQ23" i="73" s="1"/>
  <c r="BL23" i="73"/>
  <c r="BK23" i="73"/>
  <c r="BJ23" i="73"/>
  <c r="BC23" i="73"/>
  <c r="BE23" i="73" s="1"/>
  <c r="BB23" i="73"/>
  <c r="BA23" i="73"/>
  <c r="AZ23" i="73"/>
  <c r="AS23" i="73"/>
  <c r="AU23" i="73" s="1"/>
  <c r="AW23" i="73" s="1"/>
  <c r="AQ23" i="73"/>
  <c r="N23" i="73" s="1"/>
  <c r="AP23" i="73"/>
  <c r="AH23" i="73"/>
  <c r="AI23" i="73" s="1"/>
  <c r="AG23" i="73"/>
  <c r="AB23" i="73"/>
  <c r="AA23" i="73"/>
  <c r="AD23" i="73" s="1"/>
  <c r="Y23" i="73"/>
  <c r="S23" i="73"/>
  <c r="O23" i="73"/>
  <c r="P23" i="73" s="1"/>
  <c r="M23" i="73"/>
  <c r="CZ22" i="73"/>
  <c r="CX22" i="73"/>
  <c r="CO22" i="73"/>
  <c r="CL22" i="73"/>
  <c r="CK22" i="73"/>
  <c r="CG22" i="73"/>
  <c r="CI22" i="73" s="1"/>
  <c r="CD22" i="73"/>
  <c r="CE22" i="73" s="1"/>
  <c r="CC22" i="73"/>
  <c r="BU22" i="73"/>
  <c r="BV22" i="73" s="1"/>
  <c r="BX22" i="73" s="1"/>
  <c r="BZ22" i="73" s="1"/>
  <c r="BT22" i="73"/>
  <c r="BL22" i="73"/>
  <c r="BM22" i="73" s="1"/>
  <c r="BO22" i="73" s="1"/>
  <c r="BQ22" i="73" s="1"/>
  <c r="BK22" i="73"/>
  <c r="BJ22" i="73"/>
  <c r="BB22" i="73"/>
  <c r="BC22" i="73" s="1"/>
  <c r="BE22" i="73" s="1"/>
  <c r="BG22" i="73" s="1"/>
  <c r="BA22" i="73"/>
  <c r="AZ22" i="73"/>
  <c r="AQ22" i="73"/>
  <c r="N22" i="73" s="1"/>
  <c r="AP22" i="73"/>
  <c r="AI22" i="73"/>
  <c r="AH22" i="73"/>
  <c r="AG22" i="73"/>
  <c r="AA22" i="73"/>
  <c r="Z22" i="73"/>
  <c r="Y22" i="73"/>
  <c r="AB22" i="73" s="1"/>
  <c r="T22" i="73"/>
  <c r="S22" i="73"/>
  <c r="M22" i="73"/>
  <c r="O22" i="73" s="1"/>
  <c r="P22" i="73" s="1"/>
  <c r="CZ21" i="73"/>
  <c r="CX21" i="73"/>
  <c r="CO21" i="73"/>
  <c r="CL21" i="73"/>
  <c r="CK21" i="73"/>
  <c r="CT21" i="73" s="1"/>
  <c r="CE21" i="73"/>
  <c r="CG21" i="73" s="1"/>
  <c r="CI21" i="73" s="1"/>
  <c r="CD21" i="73"/>
  <c r="CC21" i="73"/>
  <c r="Z21" i="73" s="1"/>
  <c r="BV21" i="73"/>
  <c r="BX21" i="73" s="1"/>
  <c r="BZ21" i="73" s="1"/>
  <c r="BU21" i="73"/>
  <c r="BT21" i="73"/>
  <c r="BO21" i="73"/>
  <c r="BQ21" i="73" s="1"/>
  <c r="BM21" i="73"/>
  <c r="BL21" i="73"/>
  <c r="BK21" i="73"/>
  <c r="BJ21" i="73"/>
  <c r="T21" i="73" s="1"/>
  <c r="BC21" i="73"/>
  <c r="BE21" i="73" s="1"/>
  <c r="BG21" i="73" s="1"/>
  <c r="BB21" i="73"/>
  <c r="BA21" i="73"/>
  <c r="AZ21" i="73"/>
  <c r="AQ21" i="73"/>
  <c r="AP21" i="73"/>
  <c r="AI21" i="73"/>
  <c r="AH21" i="73"/>
  <c r="AG21" i="73"/>
  <c r="Y21" i="73"/>
  <c r="AA21" i="73" s="1"/>
  <c r="S21" i="73"/>
  <c r="O21" i="73"/>
  <c r="P21" i="73" s="1"/>
  <c r="Q21" i="73" s="1"/>
  <c r="M21" i="73"/>
  <c r="CZ20" i="73"/>
  <c r="CX20" i="73"/>
  <c r="CT20" i="73"/>
  <c r="CO20" i="73"/>
  <c r="CL20" i="73"/>
  <c r="CK20" i="73"/>
  <c r="CD20" i="73"/>
  <c r="CE20" i="73" s="1"/>
  <c r="CG20" i="73" s="1"/>
  <c r="CI20" i="73" s="1"/>
  <c r="CC20" i="73"/>
  <c r="Z20" i="73" s="1"/>
  <c r="BU20" i="73"/>
  <c r="BV20" i="73" s="1"/>
  <c r="BX20" i="73" s="1"/>
  <c r="BZ20" i="73" s="1"/>
  <c r="BT20" i="73"/>
  <c r="BO20" i="73"/>
  <c r="BQ20" i="73" s="1"/>
  <c r="BQ6" i="73" s="1"/>
  <c r="BL20" i="73"/>
  <c r="BM20" i="73" s="1"/>
  <c r="BK20" i="73"/>
  <c r="BJ20" i="73"/>
  <c r="T20" i="73" s="1"/>
  <c r="BE20" i="73"/>
  <c r="BG20" i="73" s="1"/>
  <c r="BB20" i="73"/>
  <c r="BC20" i="73" s="1"/>
  <c r="BA20" i="73"/>
  <c r="AZ20" i="73"/>
  <c r="AQ20" i="73"/>
  <c r="N20" i="73" s="1"/>
  <c r="AP20" i="73"/>
  <c r="AI20" i="73"/>
  <c r="AH20" i="73"/>
  <c r="AG20" i="73"/>
  <c r="AA20" i="73"/>
  <c r="Y20" i="73"/>
  <c r="AB20" i="73" s="1"/>
  <c r="S20" i="73"/>
  <c r="P20" i="73"/>
  <c r="AJ20" i="73" s="1"/>
  <c r="AM20" i="73" s="1"/>
  <c r="AN20" i="73" s="1"/>
  <c r="O20" i="73"/>
  <c r="M20" i="73"/>
  <c r="CZ19" i="73"/>
  <c r="CX19" i="73"/>
  <c r="CO19" i="73"/>
  <c r="CL19" i="73"/>
  <c r="CK19" i="73"/>
  <c r="CT19" i="73" s="1"/>
  <c r="CE19" i="73"/>
  <c r="CG19" i="73" s="1"/>
  <c r="CI19" i="73" s="1"/>
  <c r="CD19" i="73"/>
  <c r="CC19" i="73"/>
  <c r="Z19" i="73" s="1"/>
  <c r="BU19" i="73"/>
  <c r="BV19" i="73" s="1"/>
  <c r="BX19" i="73" s="1"/>
  <c r="BZ19" i="73" s="1"/>
  <c r="BT19" i="73"/>
  <c r="T19" i="73" s="1"/>
  <c r="BM19" i="73"/>
  <c r="BO19" i="73" s="1"/>
  <c r="BQ19" i="73" s="1"/>
  <c r="BL19" i="73"/>
  <c r="BK19" i="73"/>
  <c r="BJ19" i="73"/>
  <c r="BC19" i="73"/>
  <c r="BE19" i="73" s="1"/>
  <c r="BG19" i="73" s="1"/>
  <c r="BB19" i="73"/>
  <c r="BA19" i="73"/>
  <c r="AZ19" i="73"/>
  <c r="AS19" i="73"/>
  <c r="AU19" i="73" s="1"/>
  <c r="AQ19" i="73"/>
  <c r="N19" i="73" s="1"/>
  <c r="AP19" i="73"/>
  <c r="AH19" i="73"/>
  <c r="AI19" i="73" s="1"/>
  <c r="AG19" i="73"/>
  <c r="Y19" i="73"/>
  <c r="AB19" i="73" s="1"/>
  <c r="S19" i="73"/>
  <c r="M19" i="73"/>
  <c r="O19" i="73" s="1"/>
  <c r="P19" i="73" s="1"/>
  <c r="U19" i="73" s="1"/>
  <c r="CZ18" i="73"/>
  <c r="CX18" i="73"/>
  <c r="CO18" i="73"/>
  <c r="CL18" i="73"/>
  <c r="CK18" i="73"/>
  <c r="CT18" i="73" s="1"/>
  <c r="CD18" i="73"/>
  <c r="CE18" i="73" s="1"/>
  <c r="CG18" i="73" s="1"/>
  <c r="CI18" i="73" s="1"/>
  <c r="CC18" i="73"/>
  <c r="BV18" i="73"/>
  <c r="BX18" i="73" s="1"/>
  <c r="BZ18" i="73" s="1"/>
  <c r="BU18" i="73"/>
  <c r="BT18" i="73"/>
  <c r="BL18" i="73"/>
  <c r="BM18" i="73" s="1"/>
  <c r="BO18" i="73" s="1"/>
  <c r="BQ18" i="73" s="1"/>
  <c r="BK18" i="73"/>
  <c r="BJ18" i="73"/>
  <c r="T18" i="73" s="1"/>
  <c r="BB18" i="73"/>
  <c r="BC18" i="73" s="1"/>
  <c r="BE18" i="73" s="1"/>
  <c r="BA18" i="73"/>
  <c r="AZ18" i="73"/>
  <c r="AQ18" i="73"/>
  <c r="N18" i="73" s="1"/>
  <c r="AP18" i="73"/>
  <c r="AI18" i="73"/>
  <c r="AH18" i="73"/>
  <c r="AG18" i="73"/>
  <c r="Z18" i="73"/>
  <c r="Y18" i="73"/>
  <c r="S18" i="73"/>
  <c r="M18" i="73"/>
  <c r="O18" i="73" s="1"/>
  <c r="P18" i="73" s="1"/>
  <c r="CZ17" i="73"/>
  <c r="CX17" i="73"/>
  <c r="CO17" i="73"/>
  <c r="CL17" i="73"/>
  <c r="CK17" i="73"/>
  <c r="CT17" i="73" s="1"/>
  <c r="CD17" i="73"/>
  <c r="CE17" i="73" s="1"/>
  <c r="CG17" i="73" s="1"/>
  <c r="CI17" i="73" s="1"/>
  <c r="CC17" i="73"/>
  <c r="Z17" i="73" s="1"/>
  <c r="BU17" i="73"/>
  <c r="BV17" i="73" s="1"/>
  <c r="BX17" i="73" s="1"/>
  <c r="BZ17" i="73" s="1"/>
  <c r="BT17" i="73"/>
  <c r="BM17" i="73"/>
  <c r="BO17" i="73" s="1"/>
  <c r="BQ17" i="73" s="1"/>
  <c r="BL17" i="73"/>
  <c r="BK17" i="73"/>
  <c r="BJ17" i="73"/>
  <c r="BC17" i="73"/>
  <c r="BE17" i="73" s="1"/>
  <c r="BG17" i="73" s="1"/>
  <c r="BB17" i="73"/>
  <c r="BA17" i="73"/>
  <c r="AZ17" i="73"/>
  <c r="AS17" i="73"/>
  <c r="AU17" i="73" s="1"/>
  <c r="AW17" i="73" s="1"/>
  <c r="AQ17" i="73"/>
  <c r="N17" i="73" s="1"/>
  <c r="AP17" i="73"/>
  <c r="AH17" i="73"/>
  <c r="AI17" i="73" s="1"/>
  <c r="AG17" i="73"/>
  <c r="AB17" i="73"/>
  <c r="Y17" i="73"/>
  <c r="AA17" i="73" s="1"/>
  <c r="T17" i="73"/>
  <c r="S17" i="73"/>
  <c r="O17" i="73"/>
  <c r="P17" i="73" s="1"/>
  <c r="M17" i="73"/>
  <c r="CZ16" i="73"/>
  <c r="CX16" i="73"/>
  <c r="CO16" i="73"/>
  <c r="CL16" i="73"/>
  <c r="CK16" i="73"/>
  <c r="CG16" i="73"/>
  <c r="CI16" i="73" s="1"/>
  <c r="CD16" i="73"/>
  <c r="CE16" i="73" s="1"/>
  <c r="CC16" i="73"/>
  <c r="Z16" i="73" s="1"/>
  <c r="BU16" i="73"/>
  <c r="BV16" i="73" s="1"/>
  <c r="BX16" i="73" s="1"/>
  <c r="BZ16" i="73" s="1"/>
  <c r="BT16" i="73"/>
  <c r="BL16" i="73"/>
  <c r="BM16" i="73" s="1"/>
  <c r="BO16" i="73" s="1"/>
  <c r="BQ16" i="73" s="1"/>
  <c r="BK16" i="73"/>
  <c r="BJ16" i="73"/>
  <c r="BB16" i="73"/>
  <c r="BC16" i="73" s="1"/>
  <c r="BE16" i="73" s="1"/>
  <c r="BG16" i="73" s="1"/>
  <c r="BA16" i="73"/>
  <c r="AZ16" i="73"/>
  <c r="AQ16" i="73"/>
  <c r="N16" i="73" s="1"/>
  <c r="AP16" i="73"/>
  <c r="AI16" i="73"/>
  <c r="AH16" i="73"/>
  <c r="AG16" i="73"/>
  <c r="AA16" i="73"/>
  <c r="Y16" i="73"/>
  <c r="AB16" i="73" s="1"/>
  <c r="S16" i="73"/>
  <c r="P16" i="73"/>
  <c r="AJ16" i="73" s="1"/>
  <c r="AM16" i="73" s="1"/>
  <c r="AN16" i="73" s="1"/>
  <c r="O16" i="73"/>
  <c r="M16" i="73"/>
  <c r="CZ15" i="73"/>
  <c r="CX15" i="73"/>
  <c r="CO15" i="73"/>
  <c r="CL15" i="73"/>
  <c r="CK15" i="73"/>
  <c r="CT15" i="73" s="1"/>
  <c r="CE15" i="73"/>
  <c r="CG15" i="73" s="1"/>
  <c r="CI15" i="73" s="1"/>
  <c r="CD15" i="73"/>
  <c r="CC15" i="73"/>
  <c r="Z15" i="73" s="1"/>
  <c r="BU15" i="73"/>
  <c r="BV15" i="73" s="1"/>
  <c r="BX15" i="73" s="1"/>
  <c r="BZ15" i="73" s="1"/>
  <c r="BT15" i="73"/>
  <c r="BL15" i="73"/>
  <c r="BM15" i="73" s="1"/>
  <c r="BO15" i="73" s="1"/>
  <c r="BQ15" i="73" s="1"/>
  <c r="BK15" i="73"/>
  <c r="BJ15" i="73"/>
  <c r="BB15" i="73"/>
  <c r="BC15" i="73" s="1"/>
  <c r="BE15" i="73" s="1"/>
  <c r="BG15" i="73" s="1"/>
  <c r="BA15" i="73"/>
  <c r="AZ15" i="73"/>
  <c r="AQ15" i="73"/>
  <c r="N15" i="73" s="1"/>
  <c r="AP15" i="73"/>
  <c r="AS15" i="73" s="1"/>
  <c r="AU15" i="73" s="1"/>
  <c r="AW15" i="73" s="1"/>
  <c r="AH15" i="73"/>
  <c r="AI15" i="73" s="1"/>
  <c r="AG15" i="73"/>
  <c r="Y15" i="73"/>
  <c r="AB15" i="73" s="1"/>
  <c r="S15" i="73"/>
  <c r="M15" i="73"/>
  <c r="O15" i="73" s="1"/>
  <c r="P15" i="73" s="1"/>
  <c r="U15" i="73" s="1"/>
  <c r="CZ14" i="73"/>
  <c r="CX14" i="73"/>
  <c r="CO14" i="73"/>
  <c r="CL14" i="73"/>
  <c r="CK14" i="73"/>
  <c r="CT14" i="73" s="1"/>
  <c r="CD14" i="73"/>
  <c r="CE14" i="73" s="1"/>
  <c r="CG14" i="73" s="1"/>
  <c r="CI14" i="73" s="1"/>
  <c r="CC14" i="73"/>
  <c r="BV14" i="73"/>
  <c r="BX14" i="73" s="1"/>
  <c r="BZ14" i="73" s="1"/>
  <c r="BU14" i="73"/>
  <c r="BT14" i="73"/>
  <c r="BL14" i="73"/>
  <c r="BM14" i="73" s="1"/>
  <c r="BO14" i="73" s="1"/>
  <c r="BQ14" i="73" s="1"/>
  <c r="BK14" i="73"/>
  <c r="BJ14" i="73"/>
  <c r="BB14" i="73"/>
  <c r="BC14" i="73" s="1"/>
  <c r="BE14" i="73" s="1"/>
  <c r="BG14" i="73" s="1"/>
  <c r="BA14" i="73"/>
  <c r="AZ14" i="73"/>
  <c r="AQ14" i="73"/>
  <c r="N14" i="73" s="1"/>
  <c r="AP14" i="73"/>
  <c r="AH14" i="73"/>
  <c r="AI14" i="73" s="1"/>
  <c r="AG14" i="73"/>
  <c r="Z14" i="73"/>
  <c r="Y14" i="73"/>
  <c r="T14" i="73"/>
  <c r="S14" i="73"/>
  <c r="M14" i="73"/>
  <c r="O14" i="73" s="1"/>
  <c r="P14" i="73" s="1"/>
  <c r="CZ13" i="73"/>
  <c r="CX13" i="73"/>
  <c r="CO13" i="73"/>
  <c r="CL13" i="73"/>
  <c r="CK13" i="73"/>
  <c r="CT13" i="73" s="1"/>
  <c r="CE13" i="73"/>
  <c r="CG13" i="73" s="1"/>
  <c r="CD13" i="73"/>
  <c r="CC13" i="73"/>
  <c r="Z13" i="73" s="1"/>
  <c r="BU13" i="73"/>
  <c r="BV13" i="73" s="1"/>
  <c r="BX13" i="73" s="1"/>
  <c r="BZ13" i="73" s="1"/>
  <c r="BT13" i="73"/>
  <c r="BL13" i="73"/>
  <c r="BM13" i="73" s="1"/>
  <c r="BO13" i="73" s="1"/>
  <c r="BQ13" i="73" s="1"/>
  <c r="BK13" i="73"/>
  <c r="BJ13" i="73"/>
  <c r="BB13" i="73"/>
  <c r="BC13" i="73" s="1"/>
  <c r="BE13" i="73" s="1"/>
  <c r="BG13" i="73" s="1"/>
  <c r="BA13" i="73"/>
  <c r="AZ13" i="73"/>
  <c r="AQ13" i="73"/>
  <c r="N13" i="73" s="1"/>
  <c r="AP13" i="73"/>
  <c r="AS13" i="73" s="1"/>
  <c r="AU13" i="73" s="1"/>
  <c r="AW13" i="73" s="1"/>
  <c r="AH13" i="73"/>
  <c r="AI13" i="73" s="1"/>
  <c r="AG13" i="73"/>
  <c r="AB13" i="73"/>
  <c r="Y13" i="73"/>
  <c r="X13" i="73"/>
  <c r="W13" i="73"/>
  <c r="T13" i="73"/>
  <c r="S13" i="73"/>
  <c r="O13" i="73"/>
  <c r="P13" i="73" s="1"/>
  <c r="M13" i="73"/>
  <c r="CZ12" i="73"/>
  <c r="CX12" i="73"/>
  <c r="CO12" i="73"/>
  <c r="CL12" i="73"/>
  <c r="CK12" i="73"/>
  <c r="CD12" i="73"/>
  <c r="CE12" i="73" s="1"/>
  <c r="CG12" i="73" s="1"/>
  <c r="CI12" i="73" s="1"/>
  <c r="CC12" i="73"/>
  <c r="Z12" i="73" s="1"/>
  <c r="BU12" i="73"/>
  <c r="BV12" i="73" s="1"/>
  <c r="BX12" i="73" s="1"/>
  <c r="BZ12" i="73" s="1"/>
  <c r="BT12" i="73"/>
  <c r="BL12" i="73"/>
  <c r="BM12" i="73" s="1"/>
  <c r="BO12" i="73" s="1"/>
  <c r="BQ12" i="73" s="1"/>
  <c r="BK12" i="73"/>
  <c r="BJ12" i="73"/>
  <c r="BB12" i="73"/>
  <c r="BC12" i="73" s="1"/>
  <c r="BE12" i="73" s="1"/>
  <c r="BG12" i="73" s="1"/>
  <c r="BA12" i="73"/>
  <c r="AZ12" i="73"/>
  <c r="AQ12" i="73"/>
  <c r="AP12" i="73"/>
  <c r="AH12" i="73"/>
  <c r="AI12" i="73" s="1"/>
  <c r="AG12" i="73"/>
  <c r="AA12" i="73"/>
  <c r="Y12" i="73"/>
  <c r="AB12" i="73" s="1"/>
  <c r="S12" i="73"/>
  <c r="P12" i="73"/>
  <c r="O12" i="73"/>
  <c r="M12" i="73"/>
  <c r="CZ11" i="73"/>
  <c r="CX11" i="73"/>
  <c r="CO11" i="73"/>
  <c r="CL11" i="73"/>
  <c r="CK11" i="73"/>
  <c r="CT11" i="73" s="1"/>
  <c r="CE11" i="73"/>
  <c r="CG11" i="73" s="1"/>
  <c r="CI11" i="73" s="1"/>
  <c r="CD11" i="73"/>
  <c r="CC11" i="73"/>
  <c r="Z11" i="73" s="1"/>
  <c r="BU11" i="73"/>
  <c r="BV11" i="73" s="1"/>
  <c r="BX11" i="73" s="1"/>
  <c r="BZ11" i="73" s="1"/>
  <c r="BT11" i="73"/>
  <c r="BL11" i="73"/>
  <c r="BM11" i="73" s="1"/>
  <c r="BO11" i="73" s="1"/>
  <c r="BQ11" i="73" s="1"/>
  <c r="BK11" i="73"/>
  <c r="BJ11" i="73"/>
  <c r="BB11" i="73"/>
  <c r="BC11" i="73" s="1"/>
  <c r="BE11" i="73" s="1"/>
  <c r="BG11" i="73" s="1"/>
  <c r="BA11" i="73"/>
  <c r="AZ11" i="73"/>
  <c r="AQ11" i="73"/>
  <c r="N11" i="73" s="1"/>
  <c r="AP11" i="73"/>
  <c r="AS11" i="73" s="1"/>
  <c r="AU11" i="73" s="1"/>
  <c r="AW11" i="73" s="1"/>
  <c r="AH11" i="73"/>
  <c r="AI11" i="73" s="1"/>
  <c r="AG11" i="73"/>
  <c r="AB11" i="73"/>
  <c r="AA11" i="73"/>
  <c r="AD11" i="73" s="1"/>
  <c r="Y11" i="73"/>
  <c r="S11" i="73"/>
  <c r="M11" i="73"/>
  <c r="O11" i="73" s="1"/>
  <c r="P11" i="73" s="1"/>
  <c r="AJ11" i="73" s="1"/>
  <c r="AM11" i="73" s="1"/>
  <c r="AN11" i="73" s="1"/>
  <c r="CZ10" i="73"/>
  <c r="CX10" i="73"/>
  <c r="CO10" i="73"/>
  <c r="CL10" i="73"/>
  <c r="CK10" i="73"/>
  <c r="CD10" i="73"/>
  <c r="CE10" i="73" s="1"/>
  <c r="CG10" i="73" s="1"/>
  <c r="CI10" i="73" s="1"/>
  <c r="CC10" i="73"/>
  <c r="Z10" i="73" s="1"/>
  <c r="BV10" i="73"/>
  <c r="BX10" i="73" s="1"/>
  <c r="BZ10" i="73" s="1"/>
  <c r="BU10" i="73"/>
  <c r="BT10" i="73"/>
  <c r="BL10" i="73"/>
  <c r="BM10" i="73" s="1"/>
  <c r="BO10" i="73" s="1"/>
  <c r="BQ10" i="73" s="1"/>
  <c r="BK10" i="73"/>
  <c r="BJ10" i="73"/>
  <c r="T10" i="73" s="1"/>
  <c r="BB10" i="73"/>
  <c r="BC10" i="73" s="1"/>
  <c r="BE10" i="73" s="1"/>
  <c r="BA10" i="73"/>
  <c r="AZ10" i="73"/>
  <c r="AQ10" i="73"/>
  <c r="N10" i="73" s="1"/>
  <c r="AP10" i="73"/>
  <c r="AI10" i="73"/>
  <c r="AH10" i="73"/>
  <c r="AG10" i="73"/>
  <c r="Y10" i="73"/>
  <c r="S10" i="73"/>
  <c r="M10" i="73"/>
  <c r="O10" i="73" s="1"/>
  <c r="P10" i="73" s="1"/>
  <c r="CZ9" i="73"/>
  <c r="CX9" i="73"/>
  <c r="CO9" i="73"/>
  <c r="CL9" i="73"/>
  <c r="CK9" i="73"/>
  <c r="CT9" i="73" s="1"/>
  <c r="CE9" i="73"/>
  <c r="CG9" i="73" s="1"/>
  <c r="CI9" i="73" s="1"/>
  <c r="CD9" i="73"/>
  <c r="CC9" i="73"/>
  <c r="Z9" i="73" s="1"/>
  <c r="BU9" i="73"/>
  <c r="BV9" i="73" s="1"/>
  <c r="BX9" i="73" s="1"/>
  <c r="BZ9" i="73" s="1"/>
  <c r="BT9" i="73"/>
  <c r="BM9" i="73"/>
  <c r="BO9" i="73" s="1"/>
  <c r="BQ9" i="73" s="1"/>
  <c r="BL9" i="73"/>
  <c r="BK9" i="73"/>
  <c r="BJ9" i="73"/>
  <c r="T9" i="73" s="1"/>
  <c r="BG9" i="73"/>
  <c r="BC9" i="73"/>
  <c r="BE9" i="73" s="1"/>
  <c r="BB9" i="73"/>
  <c r="BA9" i="73"/>
  <c r="AZ9" i="73"/>
  <c r="AQ9" i="73"/>
  <c r="AP9" i="73"/>
  <c r="AS9" i="73" s="1"/>
  <c r="AU9" i="73" s="1"/>
  <c r="AW9" i="73" s="1"/>
  <c r="AH9" i="73"/>
  <c r="AI9" i="73" s="1"/>
  <c r="AG9" i="73"/>
  <c r="Y9" i="73"/>
  <c r="AA9" i="73" s="1"/>
  <c r="S9" i="73"/>
  <c r="M9" i="73"/>
  <c r="O9" i="73" s="1"/>
  <c r="P9" i="73" s="1"/>
  <c r="CZ8" i="73"/>
  <c r="CX8" i="73"/>
  <c r="CO8" i="73"/>
  <c r="CL8" i="73"/>
  <c r="CK8" i="73"/>
  <c r="CD8" i="73"/>
  <c r="CE8" i="73" s="1"/>
  <c r="CG8" i="73" s="1"/>
  <c r="CI8" i="73" s="1"/>
  <c r="CC8" i="73"/>
  <c r="Z8" i="73" s="1"/>
  <c r="BV8" i="73"/>
  <c r="BX8" i="73" s="1"/>
  <c r="BZ8" i="73" s="1"/>
  <c r="BU8" i="73"/>
  <c r="BT8" i="73"/>
  <c r="BL8" i="73"/>
  <c r="BM8" i="73" s="1"/>
  <c r="BO8" i="73" s="1"/>
  <c r="BQ8" i="73" s="1"/>
  <c r="BK8" i="73"/>
  <c r="BJ8" i="73"/>
  <c r="BB8" i="73"/>
  <c r="BC8" i="73" s="1"/>
  <c r="BE8" i="73" s="1"/>
  <c r="BG8" i="73" s="1"/>
  <c r="BA8" i="73"/>
  <c r="AZ8" i="73"/>
  <c r="AQ8" i="73"/>
  <c r="AP8" i="73"/>
  <c r="AI8" i="73"/>
  <c r="AH8" i="73"/>
  <c r="AG8" i="73"/>
  <c r="Y8" i="73"/>
  <c r="AB8" i="73" s="1"/>
  <c r="T8" i="73"/>
  <c r="S8" i="73"/>
  <c r="O8" i="73"/>
  <c r="P8" i="73" s="1"/>
  <c r="N8" i="73"/>
  <c r="M8" i="73"/>
  <c r="CZ7" i="73"/>
  <c r="CX7" i="73"/>
  <c r="CO7" i="73"/>
  <c r="CT7" i="73" s="1"/>
  <c r="CL7" i="73"/>
  <c r="CK7" i="73"/>
  <c r="CI7" i="73"/>
  <c r="CE7" i="73"/>
  <c r="CG7" i="73" s="1"/>
  <c r="CD7" i="73"/>
  <c r="CC7" i="73"/>
  <c r="Z7" i="73" s="1"/>
  <c r="BX7" i="73"/>
  <c r="BZ7" i="73" s="1"/>
  <c r="BU7" i="73"/>
  <c r="BV7" i="73" s="1"/>
  <c r="BT7" i="73"/>
  <c r="BL7" i="73"/>
  <c r="BM7" i="73" s="1"/>
  <c r="BO7" i="73" s="1"/>
  <c r="BQ7" i="73" s="1"/>
  <c r="BK7" i="73"/>
  <c r="BJ7" i="73"/>
  <c r="BC7" i="73"/>
  <c r="BE7" i="73" s="1"/>
  <c r="BG7" i="73" s="1"/>
  <c r="BB7" i="73"/>
  <c r="BA7" i="73"/>
  <c r="AZ7" i="73"/>
  <c r="AS7" i="73"/>
  <c r="AU7" i="73" s="1"/>
  <c r="AW7" i="73" s="1"/>
  <c r="AQ7" i="73"/>
  <c r="N7" i="73" s="1"/>
  <c r="AP7" i="73"/>
  <c r="AH7" i="73"/>
  <c r="AI7" i="73" s="1"/>
  <c r="AG7" i="73"/>
  <c r="AB7" i="73"/>
  <c r="AA7" i="73"/>
  <c r="AD7" i="73" s="1"/>
  <c r="AE7" i="73" s="1"/>
  <c r="Y7" i="73"/>
  <c r="S7" i="73"/>
  <c r="M7" i="73"/>
  <c r="O7" i="73" s="1"/>
  <c r="P7" i="73" s="1"/>
  <c r="CZ6" i="73"/>
  <c r="CX6" i="73"/>
  <c r="CO6" i="73"/>
  <c r="CL6" i="73"/>
  <c r="CK6" i="73"/>
  <c r="CD6" i="73"/>
  <c r="CE6" i="73" s="1"/>
  <c r="CG6" i="73" s="1"/>
  <c r="CI6" i="73" s="1"/>
  <c r="CC6" i="73"/>
  <c r="BZ6" i="73"/>
  <c r="BV6" i="73"/>
  <c r="BX6" i="73" s="1"/>
  <c r="BU6" i="73"/>
  <c r="BT6" i="73"/>
  <c r="BO6" i="73"/>
  <c r="BL6" i="73"/>
  <c r="BM6" i="73" s="1"/>
  <c r="BK6" i="73"/>
  <c r="BJ6" i="73"/>
  <c r="T6" i="73" s="1"/>
  <c r="BE6" i="73"/>
  <c r="BG6" i="73" s="1"/>
  <c r="BB6" i="73"/>
  <c r="BC6" i="73" s="1"/>
  <c r="BA6" i="73"/>
  <c r="AZ6" i="73"/>
  <c r="AQ6" i="73"/>
  <c r="AP6" i="73"/>
  <c r="AH6" i="73"/>
  <c r="AI6" i="73" s="1"/>
  <c r="AG6" i="73"/>
  <c r="Z6" i="73"/>
  <c r="Y6" i="73"/>
  <c r="AB6" i="73" s="1"/>
  <c r="S6" i="73"/>
  <c r="N6" i="73"/>
  <c r="M6" i="73"/>
  <c r="O6" i="73" s="1"/>
  <c r="P6" i="73" s="1"/>
  <c r="CJ4" i="73"/>
  <c r="CA4" i="73"/>
  <c r="BR4" i="73"/>
  <c r="BH4" i="73"/>
  <c r="AX4" i="73"/>
  <c r="AO4" i="73"/>
  <c r="AH4" i="73"/>
  <c r="AF4" i="73"/>
  <c r="AA4" i="73"/>
  <c r="U4" i="73"/>
  <c r="O4" i="73"/>
  <c r="L4" i="73"/>
  <c r="C1" i="73"/>
  <c r="AA6" i="73" l="1"/>
  <c r="AD6" i="73" s="1"/>
  <c r="AB9" i="73"/>
  <c r="N9" i="73"/>
  <c r="BG10" i="73"/>
  <c r="N12" i="73"/>
  <c r="Q15" i="73"/>
  <c r="R15" i="73" s="1"/>
  <c r="CT16" i="73"/>
  <c r="BG18" i="73"/>
  <c r="Q19" i="73"/>
  <c r="AA19" i="73"/>
  <c r="AD19" i="73" s="1"/>
  <c r="AJ19" i="73"/>
  <c r="AM19" i="73" s="1"/>
  <c r="AN19" i="73" s="1"/>
  <c r="AD21" i="73"/>
  <c r="AE21" i="73" s="1"/>
  <c r="CT22" i="73"/>
  <c r="AB25" i="73"/>
  <c r="CT25" i="73"/>
  <c r="BG26" i="73"/>
  <c r="BG27" i="73"/>
  <c r="AA28" i="73"/>
  <c r="AD28" i="73" s="1"/>
  <c r="AE28" i="73" s="1"/>
  <c r="T28" i="73"/>
  <c r="N30" i="73"/>
  <c r="BG33" i="73"/>
  <c r="AS28" i="73"/>
  <c r="AU28" i="73" s="1"/>
  <c r="AW28" i="73" s="1"/>
  <c r="T7" i="73"/>
  <c r="CT10" i="73"/>
  <c r="T11" i="73"/>
  <c r="AA15" i="73"/>
  <c r="AD15" i="73" s="1"/>
  <c r="AJ15" i="73"/>
  <c r="AM15" i="73" s="1"/>
  <c r="AN15" i="73" s="1"/>
  <c r="T15" i="73"/>
  <c r="N21" i="73"/>
  <c r="BQ25" i="73"/>
  <c r="N26" i="73"/>
  <c r="N27" i="73"/>
  <c r="BG30" i="73"/>
  <c r="CT31" i="73"/>
  <c r="AA34" i="73"/>
  <c r="CT34" i="73"/>
  <c r="AJ12" i="73"/>
  <c r="AM12" i="73" s="1"/>
  <c r="AN12" i="73" s="1"/>
  <c r="T12" i="73"/>
  <c r="T16" i="73"/>
  <c r="T25" i="73"/>
  <c r="N28" i="73"/>
  <c r="T32" i="73"/>
  <c r="AS34" i="73"/>
  <c r="AU34" i="73" s="1"/>
  <c r="AE11" i="73"/>
  <c r="AS10" i="73"/>
  <c r="AU10" i="73" s="1"/>
  <c r="AS18" i="73"/>
  <c r="AU18" i="73" s="1"/>
  <c r="AS26" i="73"/>
  <c r="AU26" i="73" s="1"/>
  <c r="AW26" i="73" s="1"/>
  <c r="Q7" i="73"/>
  <c r="R7" i="73" s="1"/>
  <c r="AJ7" i="73"/>
  <c r="AM7" i="73" s="1"/>
  <c r="AN7" i="73" s="1"/>
  <c r="U7" i="73"/>
  <c r="AJ6" i="73"/>
  <c r="AM6" i="73" s="1"/>
  <c r="AN6" i="73" s="1"/>
  <c r="U6" i="73"/>
  <c r="Q6" i="73"/>
  <c r="R6" i="73" s="1"/>
  <c r="AJ9" i="73"/>
  <c r="AM9" i="73" s="1"/>
  <c r="AN9" i="73" s="1"/>
  <c r="Q9" i="73"/>
  <c r="R9" i="73" s="1"/>
  <c r="U9" i="73"/>
  <c r="R14" i="73"/>
  <c r="AJ14" i="73"/>
  <c r="AM14" i="73" s="1"/>
  <c r="AN14" i="73" s="1"/>
  <c r="U14" i="73"/>
  <c r="Q14" i="73"/>
  <c r="AS14" i="73"/>
  <c r="AU14" i="73" s="1"/>
  <c r="AW14" i="73" s="1"/>
  <c r="AB18" i="73"/>
  <c r="AA18" i="73"/>
  <c r="AD29" i="73"/>
  <c r="AE29" i="73" s="1"/>
  <c r="AE6" i="73"/>
  <c r="AA8" i="73"/>
  <c r="U11" i="73"/>
  <c r="AJ13" i="73"/>
  <c r="AM13" i="73" s="1"/>
  <c r="AN13" i="73" s="1"/>
  <c r="U13" i="73"/>
  <c r="AA13" i="73" s="1"/>
  <c r="Q13" i="73"/>
  <c r="R13" i="73" s="1"/>
  <c r="AJ18" i="73"/>
  <c r="AM18" i="73" s="1"/>
  <c r="AN18" i="73" s="1"/>
  <c r="U18" i="73"/>
  <c r="Q18" i="73"/>
  <c r="R18" i="73" s="1"/>
  <c r="AD20" i="73"/>
  <c r="AE20" i="73" s="1"/>
  <c r="AD22" i="73"/>
  <c r="AE22" i="73" s="1"/>
  <c r="AJ25" i="73"/>
  <c r="AM25" i="73" s="1"/>
  <c r="AN25" i="73" s="1"/>
  <c r="U25" i="73"/>
  <c r="Q25" i="73"/>
  <c r="R25" i="73" s="1"/>
  <c r="R28" i="73"/>
  <c r="U28" i="73"/>
  <c r="Q28" i="73"/>
  <c r="W15" i="73"/>
  <c r="X15" i="73" s="1"/>
  <c r="AE17" i="73"/>
  <c r="AD17" i="73"/>
  <c r="CT8" i="73"/>
  <c r="CT12" i="73"/>
  <c r="AB14" i="73"/>
  <c r="AA14" i="73"/>
  <c r="W19" i="73"/>
  <c r="X19" i="73" s="1"/>
  <c r="AS20" i="73"/>
  <c r="AU20" i="73" s="1"/>
  <c r="AW20" i="73" s="1"/>
  <c r="U23" i="73"/>
  <c r="Q23" i="73"/>
  <c r="R23" i="73" s="1"/>
  <c r="AJ23" i="73"/>
  <c r="AM23" i="73" s="1"/>
  <c r="AN23" i="73" s="1"/>
  <c r="AA26" i="73"/>
  <c r="AB26" i="73"/>
  <c r="AJ10" i="73"/>
  <c r="AM10" i="73" s="1"/>
  <c r="AN10" i="73" s="1"/>
  <c r="U10" i="73"/>
  <c r="Q10" i="73"/>
  <c r="R10" i="73" s="1"/>
  <c r="AD12" i="73"/>
  <c r="AE12" i="73" s="1"/>
  <c r="AJ17" i="73"/>
  <c r="AM17" i="73" s="1"/>
  <c r="AN17" i="73" s="1"/>
  <c r="U17" i="73"/>
  <c r="Q17" i="73"/>
  <c r="R17" i="73" s="1"/>
  <c r="W30" i="73"/>
  <c r="X30" i="73" s="1"/>
  <c r="CT6" i="73"/>
  <c r="AS6" i="73"/>
  <c r="AU6" i="73" s="1"/>
  <c r="AW6" i="73" s="1"/>
  <c r="AJ8" i="73"/>
  <c r="AM8" i="73" s="1"/>
  <c r="AN8" i="73" s="1"/>
  <c r="U8" i="73"/>
  <c r="Q8" i="73"/>
  <c r="R8" i="73" s="1"/>
  <c r="AS8" i="73"/>
  <c r="AU8" i="73" s="1"/>
  <c r="AW8" i="73" s="1"/>
  <c r="AE9" i="73"/>
  <c r="AD9" i="73"/>
  <c r="AB10" i="73"/>
  <c r="AA10" i="73"/>
  <c r="Q11" i="73"/>
  <c r="R11" i="73" s="1"/>
  <c r="AD16" i="73"/>
  <c r="AE16" i="73" s="1"/>
  <c r="R19" i="73"/>
  <c r="R21" i="73"/>
  <c r="U21" i="73"/>
  <c r="AJ21" i="73"/>
  <c r="AM21" i="73" s="1"/>
  <c r="AN21" i="73" s="1"/>
  <c r="BG23" i="73"/>
  <c r="AD25" i="73"/>
  <c r="AE25" i="73" s="1"/>
  <c r="AS12" i="73"/>
  <c r="AU12" i="73" s="1"/>
  <c r="AW12" i="73" s="1"/>
  <c r="AS16" i="73"/>
  <c r="AU16" i="73" s="1"/>
  <c r="AW16" i="73" s="1"/>
  <c r="AJ22" i="73"/>
  <c r="AM22" i="73" s="1"/>
  <c r="AN22" i="73" s="1"/>
  <c r="U22" i="73"/>
  <c r="Q22" i="73"/>
  <c r="R22" i="73" s="1"/>
  <c r="Q26" i="73"/>
  <c r="R26" i="73" s="1"/>
  <c r="U26" i="73"/>
  <c r="R30" i="73"/>
  <c r="I30" i="73" s="1"/>
  <c r="Q30" i="73"/>
  <c r="AS22" i="73"/>
  <c r="AU22" i="73" s="1"/>
  <c r="AW22" i="73" s="1"/>
  <c r="AJ24" i="73"/>
  <c r="AM24" i="73" s="1"/>
  <c r="AN24" i="73" s="1"/>
  <c r="U24" i="73"/>
  <c r="Q24" i="73"/>
  <c r="R24" i="73" s="1"/>
  <c r="AB24" i="73"/>
  <c r="AA24" i="73"/>
  <c r="BQ27" i="73"/>
  <c r="AB33" i="73"/>
  <c r="AA33" i="73"/>
  <c r="Q12" i="73"/>
  <c r="R12" i="73" s="1"/>
  <c r="U12" i="73"/>
  <c r="Q16" i="73"/>
  <c r="R16" i="73" s="1"/>
  <c r="U16" i="73"/>
  <c r="Q20" i="73"/>
  <c r="R20" i="73" s="1"/>
  <c r="U20" i="73"/>
  <c r="AB21" i="73"/>
  <c r="AS24" i="73"/>
  <c r="AU24" i="73" s="1"/>
  <c r="AW24" i="73" s="1"/>
  <c r="AJ27" i="73"/>
  <c r="AM27" i="73" s="1"/>
  <c r="AN27" i="73" s="1"/>
  <c r="U27" i="73"/>
  <c r="Q27" i="73"/>
  <c r="R27" i="73" s="1"/>
  <c r="AW25" i="73"/>
  <c r="AA27" i="73"/>
  <c r="AS27" i="73"/>
  <c r="AU27" i="73" s="1"/>
  <c r="AW27" i="73" s="1"/>
  <c r="CT27" i="73"/>
  <c r="AE30" i="73"/>
  <c r="AJ33" i="73"/>
  <c r="AM33" i="73" s="1"/>
  <c r="AN33" i="73" s="1"/>
  <c r="U33" i="73"/>
  <c r="Q33" i="73"/>
  <c r="R33" i="73"/>
  <c r="AJ29" i="73"/>
  <c r="AM29" i="73" s="1"/>
  <c r="AN29" i="73" s="1"/>
  <c r="U29" i="73"/>
  <c r="Q29" i="73"/>
  <c r="AS29" i="73"/>
  <c r="AU29" i="73" s="1"/>
  <c r="AW29" i="73" s="1"/>
  <c r="AD31" i="73"/>
  <c r="AE31" i="73" s="1"/>
  <c r="AS33" i="73"/>
  <c r="AU33" i="73" s="1"/>
  <c r="AW33" i="73" s="1"/>
  <c r="R29" i="73"/>
  <c r="AJ31" i="73"/>
  <c r="AM31" i="73" s="1"/>
  <c r="AN31" i="73" s="1"/>
  <c r="U31" i="73"/>
  <c r="Q31" i="73"/>
  <c r="R31" i="73" s="1"/>
  <c r="AJ32" i="73"/>
  <c r="AM32" i="73" s="1"/>
  <c r="AN32" i="73" s="1"/>
  <c r="U32" i="73"/>
  <c r="Q32" i="73"/>
  <c r="R32" i="73" s="1"/>
  <c r="R34" i="73"/>
  <c r="U34" i="73"/>
  <c r="AJ34" i="73"/>
  <c r="AM34" i="73" s="1"/>
  <c r="AN34" i="73" s="1"/>
  <c r="AW31" i="73"/>
  <c r="AE19" i="73" l="1"/>
  <c r="AD34" i="73"/>
  <c r="AE34" i="73"/>
  <c r="AE15" i="73"/>
  <c r="I15" i="73" s="1"/>
  <c r="AD18" i="73"/>
  <c r="AE18" i="73" s="1"/>
  <c r="W7" i="73"/>
  <c r="X7" i="73" s="1"/>
  <c r="I7" i="73" s="1"/>
  <c r="AD27" i="73"/>
  <c r="AE27" i="73" s="1"/>
  <c r="W27" i="73"/>
  <c r="X27" i="73" s="1"/>
  <c r="W20" i="73"/>
  <c r="X20" i="73" s="1"/>
  <c r="I20" i="73" s="1"/>
  <c r="W12" i="73"/>
  <c r="X12" i="73" s="1"/>
  <c r="I12" i="73" s="1"/>
  <c r="W21" i="73"/>
  <c r="X21" i="73" s="1"/>
  <c r="I21" i="73" s="1"/>
  <c r="AD10" i="73"/>
  <c r="AE10" i="73" s="1"/>
  <c r="W10" i="73"/>
  <c r="X10" i="73" s="1"/>
  <c r="W23" i="73"/>
  <c r="X23" i="73" s="1"/>
  <c r="I23" i="73" s="1"/>
  <c r="AD13" i="73"/>
  <c r="AE13" i="73" s="1"/>
  <c r="I13" i="73" s="1"/>
  <c r="W11" i="73"/>
  <c r="X11" i="73" s="1"/>
  <c r="I11" i="73" s="1"/>
  <c r="W6" i="73"/>
  <c r="X6" i="73" s="1"/>
  <c r="I6" i="73" s="1"/>
  <c r="W22" i="73"/>
  <c r="X22" i="73" s="1"/>
  <c r="I22" i="73" s="1"/>
  <c r="W14" i="73"/>
  <c r="X14" i="73" s="1"/>
  <c r="X29" i="73"/>
  <c r="I29" i="73" s="1"/>
  <c r="W29" i="73"/>
  <c r="W33" i="73"/>
  <c r="X33" i="73" s="1"/>
  <c r="I33" i="73" s="1"/>
  <c r="W24" i="73"/>
  <c r="X24" i="73" s="1"/>
  <c r="W17" i="73"/>
  <c r="X17" i="73" s="1"/>
  <c r="I17" i="73" s="1"/>
  <c r="AD26" i="73"/>
  <c r="AE26" i="73" s="1"/>
  <c r="AD8" i="73"/>
  <c r="AE8" i="73" s="1"/>
  <c r="I19" i="73"/>
  <c r="X8" i="73"/>
  <c r="I8" i="73" s="1"/>
  <c r="W8" i="73"/>
  <c r="W28" i="73"/>
  <c r="X28" i="73" s="1"/>
  <c r="I28" i="73" s="1"/>
  <c r="W32" i="73"/>
  <c r="X32" i="73" s="1"/>
  <c r="I32" i="73" s="1"/>
  <c r="W31" i="73"/>
  <c r="X31" i="73" s="1"/>
  <c r="I31" i="73" s="1"/>
  <c r="W34" i="73"/>
  <c r="X34" i="73" s="1"/>
  <c r="I34" i="73" s="1"/>
  <c r="W16" i="73"/>
  <c r="X16" i="73" s="1"/>
  <c r="I16" i="73" s="1"/>
  <c r="AD33" i="73"/>
  <c r="AE33" i="73" s="1"/>
  <c r="AD24" i="73"/>
  <c r="AE24" i="73" s="1"/>
  <c r="W26" i="73"/>
  <c r="X26" i="73"/>
  <c r="AD14" i="73"/>
  <c r="AE14" i="73" s="1"/>
  <c r="W25" i="73"/>
  <c r="X25" i="73" s="1"/>
  <c r="I25" i="73" s="1"/>
  <c r="W18" i="73"/>
  <c r="X18" i="73" s="1"/>
  <c r="I18" i="73" s="1"/>
  <c r="W9" i="73"/>
  <c r="X9" i="73" s="1"/>
  <c r="I9" i="73" s="1"/>
  <c r="CN35" i="8"/>
  <c r="CK8" i="8"/>
  <c r="CK6" i="8"/>
  <c r="CK12" i="8"/>
  <c r="CK13" i="8"/>
  <c r="CK15" i="8"/>
  <c r="CK9" i="8"/>
  <c r="CK14" i="8"/>
  <c r="CK17" i="8"/>
  <c r="CK11" i="8"/>
  <c r="CK10" i="8"/>
  <c r="CK18" i="8"/>
  <c r="CK19" i="8"/>
  <c r="CK22" i="8"/>
  <c r="CK21" i="8"/>
  <c r="CK20" i="8"/>
  <c r="CK26" i="8"/>
  <c r="CK34" i="8"/>
  <c r="CK33" i="8"/>
  <c r="CK29" i="8"/>
  <c r="CK32" i="8"/>
  <c r="CK23" i="8"/>
  <c r="CK30" i="8"/>
  <c r="CK24" i="8"/>
  <c r="CK27" i="8"/>
  <c r="CK25" i="8"/>
  <c r="CK28" i="8"/>
  <c r="CK16" i="8"/>
  <c r="CK7" i="8"/>
  <c r="CK31" i="8"/>
  <c r="AC35" i="8"/>
  <c r="CY35" i="8"/>
  <c r="CU35" i="8"/>
  <c r="CF35" i="8"/>
  <c r="CB35" i="8"/>
  <c r="V35" i="8"/>
  <c r="BW35" i="8"/>
  <c r="BT8" i="8"/>
  <c r="BT6" i="8"/>
  <c r="BT12" i="8"/>
  <c r="BT13" i="8"/>
  <c r="BT15" i="8"/>
  <c r="BT9" i="8"/>
  <c r="BT14" i="8"/>
  <c r="BT17" i="8"/>
  <c r="BT11" i="8"/>
  <c r="BT10" i="8"/>
  <c r="BT18" i="8"/>
  <c r="BT19" i="8"/>
  <c r="BT22" i="8"/>
  <c r="BT21" i="8"/>
  <c r="BT20" i="8"/>
  <c r="BT26" i="8"/>
  <c r="BT34" i="8"/>
  <c r="BT33" i="8"/>
  <c r="BT29" i="8"/>
  <c r="BT32" i="8"/>
  <c r="BT23" i="8"/>
  <c r="BT30" i="8"/>
  <c r="BT24" i="8"/>
  <c r="BT27" i="8"/>
  <c r="BT25" i="8"/>
  <c r="BT28" i="8"/>
  <c r="BT16" i="8"/>
  <c r="BT7" i="8"/>
  <c r="BU8" i="8"/>
  <c r="BV8" i="8" s="1"/>
  <c r="BU6" i="8"/>
  <c r="BV6" i="8" s="1"/>
  <c r="BU12" i="8"/>
  <c r="BV12" i="8" s="1"/>
  <c r="BU13" i="8"/>
  <c r="BV13" i="8" s="1"/>
  <c r="BU15" i="8"/>
  <c r="BV15" i="8" s="1"/>
  <c r="BU9" i="8"/>
  <c r="BV9" i="8" s="1"/>
  <c r="BU14" i="8"/>
  <c r="BV14" i="8" s="1"/>
  <c r="BU17" i="8"/>
  <c r="BV17" i="8" s="1"/>
  <c r="BU11" i="8"/>
  <c r="BV11" i="8" s="1"/>
  <c r="BU10" i="8"/>
  <c r="BV10" i="8" s="1"/>
  <c r="BU18" i="8"/>
  <c r="BV18" i="8" s="1"/>
  <c r="BU19" i="8"/>
  <c r="BV19" i="8" s="1"/>
  <c r="BU22" i="8"/>
  <c r="BV22" i="8" s="1"/>
  <c r="BU21" i="8"/>
  <c r="BV21" i="8" s="1"/>
  <c r="BU20" i="8"/>
  <c r="BV20" i="8" s="1"/>
  <c r="BU26" i="8"/>
  <c r="BV26" i="8" s="1"/>
  <c r="BU34" i="8"/>
  <c r="BV34" i="8" s="1"/>
  <c r="BU33" i="8"/>
  <c r="BV33" i="8" s="1"/>
  <c r="BU29" i="8"/>
  <c r="BV29" i="8" s="1"/>
  <c r="BU32" i="8"/>
  <c r="BV32" i="8" s="1"/>
  <c r="BU23" i="8"/>
  <c r="BV23" i="8" s="1"/>
  <c r="BU30" i="8"/>
  <c r="BV30" i="8" s="1"/>
  <c r="BU24" i="8"/>
  <c r="BV24" i="8" s="1"/>
  <c r="BU27" i="8"/>
  <c r="BV27" i="8" s="1"/>
  <c r="BU25" i="8"/>
  <c r="BV25" i="8" s="1"/>
  <c r="BU28" i="8"/>
  <c r="BV28" i="8" s="1"/>
  <c r="BU16" i="8"/>
  <c r="BV16" i="8" s="1"/>
  <c r="BU7" i="8"/>
  <c r="BV7" i="8" s="1"/>
  <c r="BT31" i="8"/>
  <c r="BS35" i="8"/>
  <c r="AF35" i="8"/>
  <c r="BI35" i="8"/>
  <c r="BH35" i="8"/>
  <c r="BJ28" i="8"/>
  <c r="BN35" i="8"/>
  <c r="BD35" i="8"/>
  <c r="AY35" i="8"/>
  <c r="AT35" i="8"/>
  <c r="AK35" i="8"/>
  <c r="I27" i="73" l="1"/>
  <c r="I26" i="73"/>
  <c r="I24" i="73"/>
  <c r="I14" i="73"/>
  <c r="A11" i="73" s="1"/>
  <c r="I10" i="73"/>
  <c r="A10" i="73" s="1"/>
  <c r="A26" i="73"/>
  <c r="A34" i="73"/>
  <c r="A33" i="73"/>
  <c r="A24" i="73"/>
  <c r="A23" i="73"/>
  <c r="A30" i="73"/>
  <c r="A27" i="73"/>
  <c r="A32" i="73"/>
  <c r="A25" i="73"/>
  <c r="A19" i="73"/>
  <c r="A31" i="73"/>
  <c r="A29" i="73"/>
  <c r="A15" i="73"/>
  <c r="A28" i="73"/>
  <c r="M7" i="8"/>
  <c r="O7" i="8" s="1"/>
  <c r="P7" i="8" s="1"/>
  <c r="S7" i="8"/>
  <c r="Y7" i="8"/>
  <c r="AB7" i="8" s="1"/>
  <c r="AG7" i="8"/>
  <c r="AH7" i="8"/>
  <c r="AI7" i="8" s="1"/>
  <c r="AP7" i="8"/>
  <c r="AQ7" i="8"/>
  <c r="AR7" i="8"/>
  <c r="AZ7" i="8"/>
  <c r="BA7" i="8"/>
  <c r="BB7" i="8"/>
  <c r="BC7" i="8" s="1"/>
  <c r="BE7" i="8" s="1"/>
  <c r="BG7" i="8" s="1"/>
  <c r="BJ7" i="8"/>
  <c r="BK7" i="8"/>
  <c r="BL7" i="8"/>
  <c r="BM7" i="8" s="1"/>
  <c r="BO7" i="8" s="1"/>
  <c r="BQ7" i="8" s="1"/>
  <c r="BX7" i="8"/>
  <c r="BZ7" i="8" s="1"/>
  <c r="CC7" i="8"/>
  <c r="Z7" i="8" s="1"/>
  <c r="CD7" i="8"/>
  <c r="CE7" i="8" s="1"/>
  <c r="CG7" i="8" s="1"/>
  <c r="CI7" i="8" s="1"/>
  <c r="CL7" i="8"/>
  <c r="CO7" i="8"/>
  <c r="CT7" i="8"/>
  <c r="CX7" i="8"/>
  <c r="CZ7" i="8"/>
  <c r="A8" i="73" l="1"/>
  <c r="A6" i="73"/>
  <c r="A22" i="73"/>
  <c r="A16" i="73"/>
  <c r="A12" i="73"/>
  <c r="A21" i="73"/>
  <c r="A17" i="73"/>
  <c r="A20" i="73"/>
  <c r="A18" i="73"/>
  <c r="A9" i="73"/>
  <c r="A14" i="73"/>
  <c r="A7" i="73"/>
  <c r="A13" i="73"/>
  <c r="N7" i="8"/>
  <c r="T7" i="8"/>
  <c r="AS7" i="8"/>
  <c r="AU7" i="8" s="1"/>
  <c r="Q7" i="8"/>
  <c r="R7" i="8" s="1"/>
  <c r="U7" i="8"/>
  <c r="AJ7" i="8"/>
  <c r="AM7" i="8" s="1"/>
  <c r="AN7" i="8" s="1"/>
  <c r="CL28" i="8"/>
  <c r="CI28" i="8"/>
  <c r="CD28" i="8"/>
  <c r="CE28" i="8" s="1"/>
  <c r="CG28" i="8" s="1"/>
  <c r="CC28" i="8"/>
  <c r="BX28" i="8"/>
  <c r="BZ28" i="8" s="1"/>
  <c r="T28" i="8"/>
  <c r="CL25" i="8"/>
  <c r="CD25" i="8"/>
  <c r="CE25" i="8" s="1"/>
  <c r="CG25" i="8" s="1"/>
  <c r="CI25" i="8" s="1"/>
  <c r="CC25" i="8"/>
  <c r="Z25" i="8" s="1"/>
  <c r="BX25" i="8"/>
  <c r="BZ25" i="8" s="1"/>
  <c r="CL27" i="8"/>
  <c r="CD27" i="8"/>
  <c r="CE27" i="8" s="1"/>
  <c r="CG27" i="8" s="1"/>
  <c r="CI27" i="8" s="1"/>
  <c r="CC27" i="8"/>
  <c r="Z27" i="8" s="1"/>
  <c r="BX27" i="8"/>
  <c r="BZ27" i="8" s="1"/>
  <c r="CL24" i="8"/>
  <c r="CD24" i="8"/>
  <c r="CE24" i="8" s="1"/>
  <c r="CG24" i="8" s="1"/>
  <c r="CI24" i="8" s="1"/>
  <c r="CC24" i="8"/>
  <c r="Z24" i="8" s="1"/>
  <c r="BX24" i="8"/>
  <c r="BZ24" i="8" s="1"/>
  <c r="CL30" i="8"/>
  <c r="CD30" i="8"/>
  <c r="CE30" i="8" s="1"/>
  <c r="CG30" i="8" s="1"/>
  <c r="CI30" i="8" s="1"/>
  <c r="CC30" i="8"/>
  <c r="Z30" i="8" s="1"/>
  <c r="BX30" i="8"/>
  <c r="BZ30" i="8" s="1"/>
  <c r="CL23" i="8"/>
  <c r="CD23" i="8"/>
  <c r="CE23" i="8" s="1"/>
  <c r="CG23" i="8" s="1"/>
  <c r="CI23" i="8" s="1"/>
  <c r="CC23" i="8"/>
  <c r="Z23" i="8" s="1"/>
  <c r="BX23" i="8"/>
  <c r="BZ23" i="8" s="1"/>
  <c r="CL32" i="8"/>
  <c r="CD32" i="8"/>
  <c r="CE32" i="8" s="1"/>
  <c r="CG32" i="8" s="1"/>
  <c r="CI32" i="8" s="1"/>
  <c r="CC32" i="8"/>
  <c r="Z32" i="8" s="1"/>
  <c r="BX32" i="8"/>
  <c r="BZ32" i="8" s="1"/>
  <c r="CL29" i="8"/>
  <c r="CD29" i="8"/>
  <c r="CE29" i="8" s="1"/>
  <c r="CG29" i="8" s="1"/>
  <c r="CI29" i="8" s="1"/>
  <c r="CC29" i="8"/>
  <c r="Z29" i="8" s="1"/>
  <c r="BX29" i="8"/>
  <c r="BZ29" i="8" s="1"/>
  <c r="CL33" i="8"/>
  <c r="CD33" i="8"/>
  <c r="CE33" i="8" s="1"/>
  <c r="CG33" i="8" s="1"/>
  <c r="CI33" i="8" s="1"/>
  <c r="CC33" i="8"/>
  <c r="Z33" i="8" s="1"/>
  <c r="BX33" i="8"/>
  <c r="BZ33" i="8" s="1"/>
  <c r="CL34" i="8"/>
  <c r="CD34" i="8"/>
  <c r="CE34" i="8" s="1"/>
  <c r="CG34" i="8" s="1"/>
  <c r="CI34" i="8" s="1"/>
  <c r="CC34" i="8"/>
  <c r="BX34" i="8"/>
  <c r="BZ34" i="8" s="1"/>
  <c r="CL26" i="8"/>
  <c r="CD26" i="8"/>
  <c r="CE26" i="8" s="1"/>
  <c r="CG26" i="8" s="1"/>
  <c r="CI26" i="8" s="1"/>
  <c r="CC26" i="8"/>
  <c r="Z26" i="8" s="1"/>
  <c r="BX26" i="8"/>
  <c r="BZ26" i="8" s="1"/>
  <c r="CL20" i="8"/>
  <c r="CD20" i="8"/>
  <c r="CE20" i="8" s="1"/>
  <c r="CG20" i="8" s="1"/>
  <c r="CI20" i="8" s="1"/>
  <c r="CC20" i="8"/>
  <c r="Z20" i="8" s="1"/>
  <c r="BX20" i="8"/>
  <c r="BZ20" i="8" s="1"/>
  <c r="CL21" i="8"/>
  <c r="CD21" i="8"/>
  <c r="CE21" i="8" s="1"/>
  <c r="CG21" i="8" s="1"/>
  <c r="CI21" i="8" s="1"/>
  <c r="CC21" i="8"/>
  <c r="Z21" i="8" s="1"/>
  <c r="BX21" i="8"/>
  <c r="BZ21" i="8" s="1"/>
  <c r="CL22" i="8"/>
  <c r="CD22" i="8"/>
  <c r="CE22" i="8" s="1"/>
  <c r="CG22" i="8" s="1"/>
  <c r="CI22" i="8" s="1"/>
  <c r="CC22" i="8"/>
  <c r="Z22" i="8" s="1"/>
  <c r="BX22" i="8"/>
  <c r="BZ22" i="8" s="1"/>
  <c r="CL19" i="8"/>
  <c r="CD19" i="8"/>
  <c r="CE19" i="8" s="1"/>
  <c r="CG19" i="8" s="1"/>
  <c r="CI19" i="8" s="1"/>
  <c r="CC19" i="8"/>
  <c r="Z19" i="8" s="1"/>
  <c r="BX19" i="8"/>
  <c r="BZ19" i="8" s="1"/>
  <c r="CL18" i="8"/>
  <c r="CI18" i="8"/>
  <c r="CD18" i="8"/>
  <c r="CE18" i="8" s="1"/>
  <c r="CG18" i="8" s="1"/>
  <c r="CC18" i="8"/>
  <c r="Z18" i="8" s="1"/>
  <c r="BX18" i="8"/>
  <c r="BZ18" i="8" s="1"/>
  <c r="CL10" i="8"/>
  <c r="CD10" i="8"/>
  <c r="CE10" i="8" s="1"/>
  <c r="CG10" i="8" s="1"/>
  <c r="CI10" i="8" s="1"/>
  <c r="CC10" i="8"/>
  <c r="Z10" i="8" s="1"/>
  <c r="BX10" i="8"/>
  <c r="BZ10" i="8" s="1"/>
  <c r="CL11" i="8"/>
  <c r="CD11" i="8"/>
  <c r="CE11" i="8" s="1"/>
  <c r="CG11" i="8" s="1"/>
  <c r="CI11" i="8" s="1"/>
  <c r="CC11" i="8"/>
  <c r="Z11" i="8" s="1"/>
  <c r="BX11" i="8"/>
  <c r="BZ11" i="8" s="1"/>
  <c r="CL17" i="8"/>
  <c r="CD17" i="8"/>
  <c r="CE17" i="8" s="1"/>
  <c r="CG17" i="8" s="1"/>
  <c r="CI17" i="8" s="1"/>
  <c r="CC17" i="8"/>
  <c r="Z17" i="8" s="1"/>
  <c r="BX17" i="8"/>
  <c r="BZ17" i="8" s="1"/>
  <c r="CL14" i="8"/>
  <c r="CD14" i="8"/>
  <c r="CE14" i="8" s="1"/>
  <c r="CG14" i="8" s="1"/>
  <c r="CI14" i="8" s="1"/>
  <c r="CC14" i="8"/>
  <c r="Z14" i="8" s="1"/>
  <c r="BX14" i="8"/>
  <c r="BZ14" i="8" s="1"/>
  <c r="CL9" i="8"/>
  <c r="CD9" i="8"/>
  <c r="CE9" i="8" s="1"/>
  <c r="CG9" i="8" s="1"/>
  <c r="CI9" i="8" s="1"/>
  <c r="CC9" i="8"/>
  <c r="Z9" i="8" s="1"/>
  <c r="BX9" i="8"/>
  <c r="BZ9" i="8" s="1"/>
  <c r="CL15" i="8"/>
  <c r="CD15" i="8"/>
  <c r="CE15" i="8" s="1"/>
  <c r="CG15" i="8" s="1"/>
  <c r="CI15" i="8" s="1"/>
  <c r="CC15" i="8"/>
  <c r="Z15" i="8" s="1"/>
  <c r="BX15" i="8"/>
  <c r="BZ15" i="8" s="1"/>
  <c r="CL13" i="8"/>
  <c r="CD13" i="8"/>
  <c r="CE13" i="8" s="1"/>
  <c r="CG13" i="8" s="1"/>
  <c r="CC13" i="8"/>
  <c r="Z13" i="8" s="1"/>
  <c r="BX13" i="8"/>
  <c r="BZ13" i="8" s="1"/>
  <c r="CL12" i="8"/>
  <c r="CD12" i="8"/>
  <c r="CE12" i="8" s="1"/>
  <c r="CG12" i="8" s="1"/>
  <c r="CI12" i="8" s="1"/>
  <c r="CC12" i="8"/>
  <c r="Z12" i="8" s="1"/>
  <c r="BX12" i="8"/>
  <c r="BZ12" i="8" s="1"/>
  <c r="CL6" i="8"/>
  <c r="CD6" i="8"/>
  <c r="CE6" i="8" s="1"/>
  <c r="CG6" i="8" s="1"/>
  <c r="CI6" i="8" s="1"/>
  <c r="CC6" i="8"/>
  <c r="Z6" i="8" s="1"/>
  <c r="BX6" i="8"/>
  <c r="BZ6" i="8" s="1"/>
  <c r="CL8" i="8"/>
  <c r="CD8" i="8"/>
  <c r="CE8" i="8" s="1"/>
  <c r="CG8" i="8" s="1"/>
  <c r="CI8" i="8" s="1"/>
  <c r="CC8" i="8"/>
  <c r="Z8" i="8" s="1"/>
  <c r="BX8" i="8"/>
  <c r="BZ8" i="8" s="1"/>
  <c r="CL31" i="8"/>
  <c r="CD31" i="8"/>
  <c r="CE31" i="8" s="1"/>
  <c r="CG31" i="8" s="1"/>
  <c r="CI31" i="8" s="1"/>
  <c r="CC31" i="8"/>
  <c r="Z31" i="8" s="1"/>
  <c r="BU31" i="8"/>
  <c r="Z28" i="8"/>
  <c r="CO31" i="8"/>
  <c r="CT31" i="8" s="1"/>
  <c r="CX31" i="8"/>
  <c r="CZ31" i="8"/>
  <c r="CO8" i="8"/>
  <c r="CT8" i="8" s="1"/>
  <c r="CX8" i="8"/>
  <c r="CZ8" i="8"/>
  <c r="CO6" i="8"/>
  <c r="CT6" i="8" s="1"/>
  <c r="CX6" i="8"/>
  <c r="CZ6" i="8"/>
  <c r="CO12" i="8"/>
  <c r="CT12" i="8" s="1"/>
  <c r="CX12" i="8"/>
  <c r="CZ12" i="8"/>
  <c r="CO13" i="8"/>
  <c r="CT13" i="8" s="1"/>
  <c r="CX13" i="8"/>
  <c r="CZ13" i="8"/>
  <c r="CO15" i="8"/>
  <c r="CT15" i="8" s="1"/>
  <c r="CX15" i="8"/>
  <c r="CZ15" i="8"/>
  <c r="CO9" i="8"/>
  <c r="CT9" i="8"/>
  <c r="CX9" i="8"/>
  <c r="CZ9" i="8"/>
  <c r="CO14" i="8"/>
  <c r="CT14" i="8"/>
  <c r="CX14" i="8"/>
  <c r="CZ14" i="8"/>
  <c r="CO17" i="8"/>
  <c r="CT17" i="8" s="1"/>
  <c r="CX17" i="8"/>
  <c r="CZ17" i="8"/>
  <c r="CO11" i="8"/>
  <c r="CT11" i="8" s="1"/>
  <c r="CX11" i="8"/>
  <c r="CZ11" i="8"/>
  <c r="CO10" i="8"/>
  <c r="CT10" i="8" s="1"/>
  <c r="CX10" i="8"/>
  <c r="CZ10" i="8"/>
  <c r="CO18" i="8"/>
  <c r="CT18" i="8" s="1"/>
  <c r="CX18" i="8"/>
  <c r="CZ18" i="8"/>
  <c r="CO19" i="8"/>
  <c r="CT19" i="8" s="1"/>
  <c r="CX19" i="8"/>
  <c r="CZ19" i="8"/>
  <c r="CO22" i="8"/>
  <c r="CT22" i="8" s="1"/>
  <c r="CX22" i="8"/>
  <c r="CZ22" i="8"/>
  <c r="CO21" i="8"/>
  <c r="CT21" i="8" s="1"/>
  <c r="CX21" i="8"/>
  <c r="CZ21" i="8"/>
  <c r="CO20" i="8"/>
  <c r="CT20" i="8" s="1"/>
  <c r="CX20" i="8"/>
  <c r="CZ20" i="8"/>
  <c r="CO26" i="8"/>
  <c r="CT26" i="8" s="1"/>
  <c r="CX26" i="8"/>
  <c r="CZ26" i="8"/>
  <c r="CO34" i="8"/>
  <c r="CT34" i="8" s="1"/>
  <c r="CX34" i="8"/>
  <c r="CZ34" i="8"/>
  <c r="CO33" i="8"/>
  <c r="CT33" i="8" s="1"/>
  <c r="CX33" i="8"/>
  <c r="CZ33" i="8"/>
  <c r="CO29" i="8"/>
  <c r="CT29" i="8" s="1"/>
  <c r="CX29" i="8"/>
  <c r="CZ29" i="8"/>
  <c r="CO32" i="8"/>
  <c r="CT32" i="8" s="1"/>
  <c r="CX32" i="8"/>
  <c r="CZ32" i="8"/>
  <c r="CO23" i="8"/>
  <c r="CT23" i="8" s="1"/>
  <c r="CX23" i="8"/>
  <c r="CZ23" i="8"/>
  <c r="CO30" i="8"/>
  <c r="CT30" i="8" s="1"/>
  <c r="CX30" i="8"/>
  <c r="CZ30" i="8"/>
  <c r="CO24" i="8"/>
  <c r="CT24" i="8" s="1"/>
  <c r="CX24" i="8"/>
  <c r="CZ24" i="8"/>
  <c r="CO27" i="8"/>
  <c r="CT27" i="8" s="1"/>
  <c r="CX27" i="8"/>
  <c r="CZ27" i="8"/>
  <c r="CO25" i="8"/>
  <c r="CT25" i="8" s="1"/>
  <c r="CX25" i="8"/>
  <c r="CZ25" i="8"/>
  <c r="CO28" i="8"/>
  <c r="CT28" i="8" s="1"/>
  <c r="CX28" i="8"/>
  <c r="CZ28" i="8"/>
  <c r="CO16" i="8"/>
  <c r="CT16" i="8" s="1"/>
  <c r="CX16" i="8"/>
  <c r="CZ16" i="8"/>
  <c r="BX16" i="8"/>
  <c r="BZ16" i="8" s="1"/>
  <c r="CC16" i="8"/>
  <c r="Z16" i="8" s="1"/>
  <c r="CD16" i="8"/>
  <c r="CE16" i="8" s="1"/>
  <c r="CG16" i="8" s="1"/>
  <c r="CI16" i="8" s="1"/>
  <c r="CL16" i="8"/>
  <c r="BJ31" i="8"/>
  <c r="BK31" i="8"/>
  <c r="BL31" i="8"/>
  <c r="BM31" i="8" s="1"/>
  <c r="BO31" i="8" s="1"/>
  <c r="BQ31" i="8" s="1"/>
  <c r="BJ8" i="8"/>
  <c r="BK8" i="8"/>
  <c r="BL8" i="8"/>
  <c r="BM8" i="8" s="1"/>
  <c r="BO8" i="8" s="1"/>
  <c r="BJ6" i="8"/>
  <c r="T6" i="8" s="1"/>
  <c r="BK6" i="8"/>
  <c r="BL6" i="8"/>
  <c r="BM6" i="8" s="1"/>
  <c r="BO6" i="8" s="1"/>
  <c r="BJ12" i="8"/>
  <c r="BK12" i="8"/>
  <c r="BL12" i="8"/>
  <c r="BM12" i="8" s="1"/>
  <c r="BO12" i="8" s="1"/>
  <c r="BQ12" i="8" s="1"/>
  <c r="BJ13" i="8"/>
  <c r="BK13" i="8"/>
  <c r="BL13" i="8"/>
  <c r="BM13" i="8" s="1"/>
  <c r="BO13" i="8" s="1"/>
  <c r="BQ13" i="8" s="1"/>
  <c r="BJ15" i="8"/>
  <c r="BK15" i="8"/>
  <c r="BL15" i="8"/>
  <c r="BM15" i="8" s="1"/>
  <c r="BO15" i="8" s="1"/>
  <c r="BQ15" i="8" s="1"/>
  <c r="BJ9" i="8"/>
  <c r="T9" i="8" s="1"/>
  <c r="BK9" i="8"/>
  <c r="BL9" i="8"/>
  <c r="BM9" i="8" s="1"/>
  <c r="BO9" i="8" s="1"/>
  <c r="BQ9" i="8" s="1"/>
  <c r="BJ14" i="8"/>
  <c r="BK14" i="8"/>
  <c r="BL14" i="8"/>
  <c r="BM14" i="8" s="1"/>
  <c r="BO14" i="8" s="1"/>
  <c r="BQ14" i="8" s="1"/>
  <c r="BJ17" i="8"/>
  <c r="BK17" i="8"/>
  <c r="BL17" i="8"/>
  <c r="BM17" i="8" s="1"/>
  <c r="BO17" i="8" s="1"/>
  <c r="BQ17" i="8" s="1"/>
  <c r="BJ11" i="8"/>
  <c r="BK11" i="8"/>
  <c r="BL11" i="8"/>
  <c r="BM11" i="8" s="1"/>
  <c r="BO11" i="8" s="1"/>
  <c r="BQ11" i="8" s="1"/>
  <c r="BJ10" i="8"/>
  <c r="T10" i="8" s="1"/>
  <c r="BK10" i="8"/>
  <c r="BL10" i="8"/>
  <c r="BM10" i="8" s="1"/>
  <c r="BO10" i="8" s="1"/>
  <c r="BJ18" i="8"/>
  <c r="BK18" i="8"/>
  <c r="BL18" i="8"/>
  <c r="BM18" i="8" s="1"/>
  <c r="BO18" i="8" s="1"/>
  <c r="BJ19" i="8"/>
  <c r="BK19" i="8"/>
  <c r="BL19" i="8"/>
  <c r="BM19" i="8" s="1"/>
  <c r="BO19" i="8" s="1"/>
  <c r="BQ19" i="8" s="1"/>
  <c r="BJ22" i="8"/>
  <c r="BK22" i="8"/>
  <c r="BL22" i="8"/>
  <c r="BM22" i="8" s="1"/>
  <c r="BO22" i="8" s="1"/>
  <c r="BJ21" i="8"/>
  <c r="BK21" i="8"/>
  <c r="BL21" i="8"/>
  <c r="BM21" i="8" s="1"/>
  <c r="BO21" i="8" s="1"/>
  <c r="BJ20" i="8"/>
  <c r="BK20" i="8"/>
  <c r="BL20" i="8"/>
  <c r="BM20" i="8" s="1"/>
  <c r="BO20" i="8" s="1"/>
  <c r="BJ26" i="8"/>
  <c r="T26" i="8" s="1"/>
  <c r="BK26" i="8"/>
  <c r="BL26" i="8"/>
  <c r="BM26" i="8" s="1"/>
  <c r="BO26" i="8" s="1"/>
  <c r="BJ34" i="8"/>
  <c r="T34" i="8" s="1"/>
  <c r="BK34" i="8"/>
  <c r="BL34" i="8"/>
  <c r="BM34" i="8" s="1"/>
  <c r="BO34" i="8" s="1"/>
  <c r="BJ33" i="8"/>
  <c r="T33" i="8" s="1"/>
  <c r="BK33" i="8"/>
  <c r="BL33" i="8"/>
  <c r="BM33" i="8" s="1"/>
  <c r="BO33" i="8" s="1"/>
  <c r="BQ33" i="8" s="1"/>
  <c r="BJ29" i="8"/>
  <c r="BK29" i="8"/>
  <c r="BL29" i="8"/>
  <c r="BM29" i="8" s="1"/>
  <c r="BO29" i="8" s="1"/>
  <c r="BQ29" i="8" s="1"/>
  <c r="BJ32" i="8"/>
  <c r="BK32" i="8"/>
  <c r="BL32" i="8"/>
  <c r="BM32" i="8" s="1"/>
  <c r="BO32" i="8" s="1"/>
  <c r="BQ32" i="8" s="1"/>
  <c r="BJ23" i="8"/>
  <c r="BK23" i="8"/>
  <c r="BL23" i="8"/>
  <c r="BM23" i="8" s="1"/>
  <c r="BO23" i="8" s="1"/>
  <c r="BJ30" i="8"/>
  <c r="BK30" i="8"/>
  <c r="BL30" i="8"/>
  <c r="BM30" i="8" s="1"/>
  <c r="BO30" i="8" s="1"/>
  <c r="BJ24" i="8"/>
  <c r="BK24" i="8"/>
  <c r="BL24" i="8"/>
  <c r="BM24" i="8" s="1"/>
  <c r="BO24" i="8" s="1"/>
  <c r="BQ24" i="8" s="1"/>
  <c r="BJ27" i="8"/>
  <c r="BK27" i="8"/>
  <c r="BL27" i="8"/>
  <c r="BM27" i="8" s="1"/>
  <c r="BO27" i="8" s="1"/>
  <c r="BJ25" i="8"/>
  <c r="T25" i="8" s="1"/>
  <c r="BK25" i="8"/>
  <c r="BL25" i="8"/>
  <c r="BM25" i="8" s="1"/>
  <c r="BO25" i="8" s="1"/>
  <c r="BK28" i="8"/>
  <c r="BL28" i="8"/>
  <c r="BM28" i="8" s="1"/>
  <c r="BO28" i="8" s="1"/>
  <c r="BJ16" i="8"/>
  <c r="T16" i="8" s="1"/>
  <c r="BK16" i="8"/>
  <c r="BL16" i="8"/>
  <c r="BM16" i="8" s="1"/>
  <c r="BO16" i="8" s="1"/>
  <c r="BQ16" i="8" s="1"/>
  <c r="AZ31" i="8"/>
  <c r="BA31" i="8"/>
  <c r="BB31" i="8"/>
  <c r="BC31" i="8" s="1"/>
  <c r="BE31" i="8" s="1"/>
  <c r="AZ8" i="8"/>
  <c r="BA8" i="8"/>
  <c r="BB8" i="8"/>
  <c r="BC8" i="8" s="1"/>
  <c r="BE8" i="8" s="1"/>
  <c r="AZ6" i="8"/>
  <c r="BA6" i="8"/>
  <c r="BB6" i="8"/>
  <c r="BC6" i="8" s="1"/>
  <c r="BE6" i="8" s="1"/>
  <c r="AZ12" i="8"/>
  <c r="BA12" i="8"/>
  <c r="BB12" i="8"/>
  <c r="BC12" i="8" s="1"/>
  <c r="BE12" i="8" s="1"/>
  <c r="AZ13" i="8"/>
  <c r="BA13" i="8"/>
  <c r="BB13" i="8"/>
  <c r="BC13" i="8" s="1"/>
  <c r="BE13" i="8" s="1"/>
  <c r="AZ15" i="8"/>
  <c r="BA15" i="8"/>
  <c r="BB15" i="8"/>
  <c r="BC15" i="8" s="1"/>
  <c r="BE15" i="8" s="1"/>
  <c r="AZ9" i="8"/>
  <c r="BA9" i="8"/>
  <c r="BB9" i="8"/>
  <c r="BC9" i="8" s="1"/>
  <c r="BE9" i="8" s="1"/>
  <c r="BG9" i="8" s="1"/>
  <c r="AZ14" i="8"/>
  <c r="BA14" i="8"/>
  <c r="BB14" i="8"/>
  <c r="BC14" i="8" s="1"/>
  <c r="BE14" i="8" s="1"/>
  <c r="BG14" i="8" s="1"/>
  <c r="AZ17" i="8"/>
  <c r="BA17" i="8"/>
  <c r="BB17" i="8"/>
  <c r="BC17" i="8" s="1"/>
  <c r="BE17" i="8" s="1"/>
  <c r="AZ11" i="8"/>
  <c r="BA11" i="8"/>
  <c r="BB11" i="8"/>
  <c r="BC11" i="8" s="1"/>
  <c r="BE11" i="8" s="1"/>
  <c r="BG11" i="8" s="1"/>
  <c r="AZ10" i="8"/>
  <c r="BA10" i="8"/>
  <c r="BB10" i="8"/>
  <c r="BC10" i="8" s="1"/>
  <c r="BE10" i="8" s="1"/>
  <c r="AZ18" i="8"/>
  <c r="BA18" i="8"/>
  <c r="BB18" i="8"/>
  <c r="BC18" i="8" s="1"/>
  <c r="BE18" i="8" s="1"/>
  <c r="AZ19" i="8"/>
  <c r="BA19" i="8"/>
  <c r="BB19" i="8"/>
  <c r="BC19" i="8" s="1"/>
  <c r="BE19" i="8" s="1"/>
  <c r="AZ22" i="8"/>
  <c r="BA22" i="8"/>
  <c r="BB22" i="8"/>
  <c r="BC22" i="8" s="1"/>
  <c r="BE22" i="8" s="1"/>
  <c r="AZ21" i="8"/>
  <c r="BA21" i="8"/>
  <c r="BB21" i="8"/>
  <c r="BC21" i="8" s="1"/>
  <c r="BE21" i="8" s="1"/>
  <c r="AZ20" i="8"/>
  <c r="BA20" i="8"/>
  <c r="BB20" i="8"/>
  <c r="BC20" i="8" s="1"/>
  <c r="BE20" i="8" s="1"/>
  <c r="AZ26" i="8"/>
  <c r="BA26" i="8"/>
  <c r="BB26" i="8"/>
  <c r="BC26" i="8" s="1"/>
  <c r="BE26" i="8" s="1"/>
  <c r="AZ34" i="8"/>
  <c r="BA34" i="8"/>
  <c r="BB34" i="8"/>
  <c r="BC34" i="8" s="1"/>
  <c r="BE34" i="8" s="1"/>
  <c r="AZ33" i="8"/>
  <c r="BA33" i="8"/>
  <c r="BB33" i="8"/>
  <c r="BC33" i="8" s="1"/>
  <c r="BE33" i="8" s="1"/>
  <c r="AZ29" i="8"/>
  <c r="BA29" i="8"/>
  <c r="BB29" i="8"/>
  <c r="BC29" i="8" s="1"/>
  <c r="BE29" i="8" s="1"/>
  <c r="AZ32" i="8"/>
  <c r="BA32" i="8"/>
  <c r="BB32" i="8"/>
  <c r="BC32" i="8" s="1"/>
  <c r="BE32" i="8" s="1"/>
  <c r="AZ23" i="8"/>
  <c r="BA23" i="8"/>
  <c r="BB23" i="8"/>
  <c r="BC23" i="8" s="1"/>
  <c r="BE23" i="8" s="1"/>
  <c r="AZ30" i="8"/>
  <c r="BA30" i="8"/>
  <c r="BB30" i="8"/>
  <c r="BC30" i="8" s="1"/>
  <c r="BE30" i="8" s="1"/>
  <c r="AZ24" i="8"/>
  <c r="BA24" i="8"/>
  <c r="BB24" i="8"/>
  <c r="BC24" i="8" s="1"/>
  <c r="BE24" i="8" s="1"/>
  <c r="AZ27" i="8"/>
  <c r="N27" i="8" s="1"/>
  <c r="BA27" i="8"/>
  <c r="BB27" i="8"/>
  <c r="BC27" i="8" s="1"/>
  <c r="BE27" i="8" s="1"/>
  <c r="AZ25" i="8"/>
  <c r="BA25" i="8"/>
  <c r="BB25" i="8"/>
  <c r="BC25" i="8" s="1"/>
  <c r="BE25" i="8" s="1"/>
  <c r="AZ28" i="8"/>
  <c r="BA28" i="8"/>
  <c r="BB28" i="8"/>
  <c r="BC28" i="8" s="1"/>
  <c r="BE28" i="8" s="1"/>
  <c r="AZ16" i="8"/>
  <c r="BA16" i="8"/>
  <c r="BB16" i="8"/>
  <c r="BC16" i="8" s="1"/>
  <c r="BE16" i="8" s="1"/>
  <c r="AP31" i="8"/>
  <c r="AQ31" i="8"/>
  <c r="AR31" i="8"/>
  <c r="AP8" i="8"/>
  <c r="AQ8" i="8"/>
  <c r="AR8" i="8"/>
  <c r="AP6" i="8"/>
  <c r="AQ6" i="8"/>
  <c r="AR6" i="8"/>
  <c r="AP12" i="8"/>
  <c r="AQ12" i="8"/>
  <c r="AR12" i="8"/>
  <c r="AP13" i="8"/>
  <c r="AQ13" i="8"/>
  <c r="AR13" i="8"/>
  <c r="AP15" i="8"/>
  <c r="AQ15" i="8"/>
  <c r="AR15" i="8"/>
  <c r="AP9" i="8"/>
  <c r="AQ9" i="8"/>
  <c r="AR9" i="8"/>
  <c r="AP14" i="8"/>
  <c r="AQ14" i="8"/>
  <c r="AR14" i="8"/>
  <c r="AP17" i="8"/>
  <c r="AQ17" i="8"/>
  <c r="AR17" i="8"/>
  <c r="AP11" i="8"/>
  <c r="AQ11" i="8"/>
  <c r="AR11" i="8"/>
  <c r="AP10" i="8"/>
  <c r="AQ10" i="8"/>
  <c r="AR10" i="8"/>
  <c r="AP18" i="8"/>
  <c r="AQ18" i="8"/>
  <c r="AR18" i="8"/>
  <c r="AP19" i="8"/>
  <c r="AQ19" i="8"/>
  <c r="AR19" i="8"/>
  <c r="AP22" i="8"/>
  <c r="AQ22" i="8"/>
  <c r="AR22" i="8"/>
  <c r="AP21" i="8"/>
  <c r="AQ21" i="8"/>
  <c r="AR21" i="8"/>
  <c r="AP20" i="8"/>
  <c r="AQ20" i="8"/>
  <c r="AR20" i="8"/>
  <c r="AP26" i="8"/>
  <c r="AQ26" i="8"/>
  <c r="AR26" i="8"/>
  <c r="AP34" i="8"/>
  <c r="AQ34" i="8"/>
  <c r="AR34" i="8"/>
  <c r="AP33" i="8"/>
  <c r="AQ33" i="8"/>
  <c r="AR33" i="8"/>
  <c r="AP29" i="8"/>
  <c r="AQ29" i="8"/>
  <c r="AR29" i="8"/>
  <c r="AP32" i="8"/>
  <c r="AQ32" i="8"/>
  <c r="AR32" i="8"/>
  <c r="AP23" i="8"/>
  <c r="AQ23" i="8"/>
  <c r="AR23" i="8"/>
  <c r="AP30" i="8"/>
  <c r="AQ30" i="8"/>
  <c r="AR30" i="8"/>
  <c r="AP24" i="8"/>
  <c r="AQ24" i="8"/>
  <c r="AR24" i="8"/>
  <c r="AP27" i="8"/>
  <c r="AQ27" i="8"/>
  <c r="AR27" i="8"/>
  <c r="AP25" i="8"/>
  <c r="AQ25" i="8"/>
  <c r="AR25" i="8"/>
  <c r="AP28" i="8"/>
  <c r="AQ28" i="8"/>
  <c r="AR28" i="8"/>
  <c r="AP16" i="8"/>
  <c r="AQ16" i="8"/>
  <c r="AR16" i="8"/>
  <c r="AG31" i="8"/>
  <c r="AH31" i="8"/>
  <c r="AI31" i="8" s="1"/>
  <c r="AG8" i="8"/>
  <c r="AH8" i="8"/>
  <c r="AI8" i="8" s="1"/>
  <c r="AG6" i="8"/>
  <c r="AH6" i="8"/>
  <c r="AI6" i="8" s="1"/>
  <c r="AG12" i="8"/>
  <c r="AH12" i="8"/>
  <c r="AI12" i="8" s="1"/>
  <c r="AG13" i="8"/>
  <c r="AH13" i="8"/>
  <c r="AI13" i="8" s="1"/>
  <c r="AG15" i="8"/>
  <c r="AH15" i="8"/>
  <c r="AI15" i="8" s="1"/>
  <c r="AG9" i="8"/>
  <c r="AH9" i="8"/>
  <c r="AI9" i="8" s="1"/>
  <c r="AG14" i="8"/>
  <c r="AH14" i="8"/>
  <c r="AI14" i="8" s="1"/>
  <c r="AG17" i="8"/>
  <c r="AH17" i="8"/>
  <c r="AI17" i="8" s="1"/>
  <c r="AG11" i="8"/>
  <c r="AH11" i="8"/>
  <c r="AI11" i="8" s="1"/>
  <c r="AG10" i="8"/>
  <c r="AH10" i="8"/>
  <c r="AI10" i="8" s="1"/>
  <c r="AG18" i="8"/>
  <c r="AH18" i="8"/>
  <c r="AI18" i="8" s="1"/>
  <c r="AG19" i="8"/>
  <c r="AH19" i="8"/>
  <c r="AI19" i="8" s="1"/>
  <c r="AG22" i="8"/>
  <c r="AH22" i="8"/>
  <c r="AI22" i="8" s="1"/>
  <c r="AG21" i="8"/>
  <c r="AH21" i="8"/>
  <c r="AI21" i="8" s="1"/>
  <c r="AG20" i="8"/>
  <c r="AH20" i="8"/>
  <c r="AI20" i="8" s="1"/>
  <c r="AG26" i="8"/>
  <c r="AH26" i="8"/>
  <c r="AI26" i="8" s="1"/>
  <c r="AG34" i="8"/>
  <c r="AH34" i="8"/>
  <c r="AI34" i="8" s="1"/>
  <c r="AG33" i="8"/>
  <c r="AH33" i="8"/>
  <c r="AI33" i="8" s="1"/>
  <c r="AG29" i="8"/>
  <c r="AH29" i="8"/>
  <c r="AI29" i="8" s="1"/>
  <c r="AG32" i="8"/>
  <c r="AH32" i="8"/>
  <c r="AI32" i="8" s="1"/>
  <c r="AG23" i="8"/>
  <c r="AH23" i="8"/>
  <c r="AI23" i="8" s="1"/>
  <c r="AG30" i="8"/>
  <c r="AH30" i="8"/>
  <c r="AI30" i="8" s="1"/>
  <c r="AG24" i="8"/>
  <c r="AH24" i="8"/>
  <c r="AI24" i="8" s="1"/>
  <c r="AG27" i="8"/>
  <c r="AH27" i="8"/>
  <c r="AI27" i="8" s="1"/>
  <c r="AG25" i="8"/>
  <c r="AH25" i="8"/>
  <c r="AI25" i="8" s="1"/>
  <c r="AG28" i="8"/>
  <c r="AH28" i="8"/>
  <c r="AI28" i="8" s="1"/>
  <c r="AG16" i="8"/>
  <c r="AH16" i="8"/>
  <c r="AI16" i="8" s="1"/>
  <c r="Y16" i="8"/>
  <c r="AB16" i="8" s="1"/>
  <c r="Y28" i="8"/>
  <c r="AB28" i="8" s="1"/>
  <c r="Y25" i="8"/>
  <c r="AB25" i="8" s="1"/>
  <c r="Y27" i="8"/>
  <c r="AB27" i="8" s="1"/>
  <c r="Y24" i="8"/>
  <c r="AB24" i="8" s="1"/>
  <c r="Y30" i="8"/>
  <c r="AB30" i="8" s="1"/>
  <c r="Y23" i="8"/>
  <c r="AB23" i="8" s="1"/>
  <c r="Y32" i="8"/>
  <c r="AB32" i="8" s="1"/>
  <c r="Y29" i="8"/>
  <c r="AB29" i="8" s="1"/>
  <c r="Y33" i="8"/>
  <c r="AB33" i="8" s="1"/>
  <c r="Z34" i="8"/>
  <c r="Y34" i="8"/>
  <c r="AB34" i="8" s="1"/>
  <c r="Y26" i="8"/>
  <c r="AB26" i="8" s="1"/>
  <c r="Y20" i="8"/>
  <c r="AB20" i="8" s="1"/>
  <c r="Y21" i="8"/>
  <c r="AB21" i="8" s="1"/>
  <c r="Y22" i="8"/>
  <c r="AB22" i="8" s="1"/>
  <c r="Y19" i="8"/>
  <c r="AB19" i="8" s="1"/>
  <c r="Y18" i="8"/>
  <c r="AB18" i="8" s="1"/>
  <c r="Y10" i="8"/>
  <c r="AB10" i="8" s="1"/>
  <c r="Y11" i="8"/>
  <c r="AB11" i="8" s="1"/>
  <c r="Y17" i="8"/>
  <c r="AB17" i="8" s="1"/>
  <c r="Y14" i="8"/>
  <c r="AB14" i="8" s="1"/>
  <c r="Y9" i="8"/>
  <c r="AB9" i="8" s="1"/>
  <c r="Y15" i="8"/>
  <c r="AB15" i="8" s="1"/>
  <c r="Y13" i="8"/>
  <c r="AB13" i="8" s="1"/>
  <c r="X13" i="8"/>
  <c r="W13" i="8"/>
  <c r="Y12" i="8"/>
  <c r="AB12" i="8" s="1"/>
  <c r="Y6" i="8"/>
  <c r="AB6" i="8" s="1"/>
  <c r="Y8" i="8"/>
  <c r="AB8" i="8" s="1"/>
  <c r="Y31" i="8"/>
  <c r="AB31" i="8" s="1"/>
  <c r="M31" i="8"/>
  <c r="O31" i="8" s="1"/>
  <c r="P31" i="8" s="1"/>
  <c r="S31" i="8"/>
  <c r="T31" i="8"/>
  <c r="M8" i="8"/>
  <c r="O8" i="8" s="1"/>
  <c r="P8" i="8" s="1"/>
  <c r="S8" i="8"/>
  <c r="M6" i="8"/>
  <c r="O6" i="8" s="1"/>
  <c r="P6" i="8" s="1"/>
  <c r="S6" i="8"/>
  <c r="M12" i="8"/>
  <c r="O12" i="8" s="1"/>
  <c r="P12" i="8" s="1"/>
  <c r="S12" i="8"/>
  <c r="M13" i="8"/>
  <c r="O13" i="8" s="1"/>
  <c r="P13" i="8" s="1"/>
  <c r="S13" i="8"/>
  <c r="M15" i="8"/>
  <c r="O15" i="8" s="1"/>
  <c r="P15" i="8" s="1"/>
  <c r="S15" i="8"/>
  <c r="M9" i="8"/>
  <c r="O9" i="8" s="1"/>
  <c r="P9" i="8" s="1"/>
  <c r="S9" i="8"/>
  <c r="M14" i="8"/>
  <c r="O14" i="8" s="1"/>
  <c r="P14" i="8" s="1"/>
  <c r="Q14" i="8" s="1"/>
  <c r="S14" i="8"/>
  <c r="M17" i="8"/>
  <c r="O17" i="8" s="1"/>
  <c r="P17" i="8" s="1"/>
  <c r="S17" i="8"/>
  <c r="M11" i="8"/>
  <c r="O11" i="8" s="1"/>
  <c r="P11" i="8" s="1"/>
  <c r="S11" i="8"/>
  <c r="M10" i="8"/>
  <c r="O10" i="8" s="1"/>
  <c r="P10" i="8" s="1"/>
  <c r="Q10" i="8" s="1"/>
  <c r="S10" i="8"/>
  <c r="M18" i="8"/>
  <c r="O18" i="8" s="1"/>
  <c r="P18" i="8" s="1"/>
  <c r="S18" i="8"/>
  <c r="M19" i="8"/>
  <c r="O19" i="8" s="1"/>
  <c r="P19" i="8" s="1"/>
  <c r="S19" i="8"/>
  <c r="M22" i="8"/>
  <c r="O22" i="8" s="1"/>
  <c r="P22" i="8" s="1"/>
  <c r="S22" i="8"/>
  <c r="M21" i="8"/>
  <c r="O21" i="8" s="1"/>
  <c r="P21" i="8" s="1"/>
  <c r="Q21" i="8" s="1"/>
  <c r="S21" i="8"/>
  <c r="M20" i="8"/>
  <c r="O20" i="8" s="1"/>
  <c r="P20" i="8" s="1"/>
  <c r="S20" i="8"/>
  <c r="M26" i="8"/>
  <c r="O26" i="8" s="1"/>
  <c r="P26" i="8" s="1"/>
  <c r="S26" i="8"/>
  <c r="M34" i="8"/>
  <c r="O34" i="8" s="1"/>
  <c r="P34" i="8" s="1"/>
  <c r="S34" i="8"/>
  <c r="M33" i="8"/>
  <c r="O33" i="8" s="1"/>
  <c r="P33" i="8" s="1"/>
  <c r="Q33" i="8" s="1"/>
  <c r="S33" i="8"/>
  <c r="M29" i="8"/>
  <c r="O29" i="8" s="1"/>
  <c r="P29" i="8" s="1"/>
  <c r="S29" i="8"/>
  <c r="M32" i="8"/>
  <c r="O32" i="8" s="1"/>
  <c r="P32" i="8" s="1"/>
  <c r="S32" i="8"/>
  <c r="M23" i="8"/>
  <c r="O23" i="8" s="1"/>
  <c r="P23" i="8" s="1"/>
  <c r="S23" i="8"/>
  <c r="M30" i="8"/>
  <c r="O30" i="8" s="1"/>
  <c r="P30" i="8" s="1"/>
  <c r="Q30" i="8" s="1"/>
  <c r="S30" i="8"/>
  <c r="M24" i="8"/>
  <c r="O24" i="8" s="1"/>
  <c r="P24" i="8" s="1"/>
  <c r="S24" i="8"/>
  <c r="M27" i="8"/>
  <c r="O27" i="8" s="1"/>
  <c r="P27" i="8" s="1"/>
  <c r="S27" i="8"/>
  <c r="M25" i="8"/>
  <c r="O25" i="8" s="1"/>
  <c r="P25" i="8" s="1"/>
  <c r="S25" i="8"/>
  <c r="M28" i="8"/>
  <c r="O28" i="8" s="1"/>
  <c r="P28" i="8" s="1"/>
  <c r="Q28" i="8" s="1"/>
  <c r="S28" i="8"/>
  <c r="M16" i="8"/>
  <c r="O16" i="8" s="1"/>
  <c r="P16" i="8" s="1"/>
  <c r="S16" i="8"/>
  <c r="BG15" i="8" l="1"/>
  <c r="N28" i="8"/>
  <c r="N21" i="8"/>
  <c r="R21" i="8" s="1"/>
  <c r="N10" i="8"/>
  <c r="R10" i="8" s="1"/>
  <c r="N9" i="8"/>
  <c r="N6" i="8"/>
  <c r="BG16" i="8"/>
  <c r="BG24" i="8"/>
  <c r="BG29" i="8"/>
  <c r="BG20" i="8"/>
  <c r="BG18" i="8"/>
  <c r="BG12" i="8"/>
  <c r="BQ27" i="8"/>
  <c r="BQ26" i="8"/>
  <c r="AJ22" i="8"/>
  <c r="AM22" i="8" s="1"/>
  <c r="AN22" i="8" s="1"/>
  <c r="AJ18" i="8"/>
  <c r="AM18" i="8" s="1"/>
  <c r="AN18" i="8" s="1"/>
  <c r="AJ17" i="8"/>
  <c r="AM17" i="8" s="1"/>
  <c r="AN17" i="8" s="1"/>
  <c r="AJ9" i="8"/>
  <c r="AM9" i="8" s="1"/>
  <c r="AN9" i="8" s="1"/>
  <c r="AJ13" i="8"/>
  <c r="AM13" i="8" s="1"/>
  <c r="AN13" i="8" s="1"/>
  <c r="BG27" i="8"/>
  <c r="BG32" i="8"/>
  <c r="BG26" i="8"/>
  <c r="BG19" i="8"/>
  <c r="BG17" i="8"/>
  <c r="BG13" i="8"/>
  <c r="BG31" i="8"/>
  <c r="BQ34" i="8"/>
  <c r="AJ24" i="8"/>
  <c r="AM24" i="8" s="1"/>
  <c r="AN24" i="8" s="1"/>
  <c r="AJ29" i="8"/>
  <c r="AM29" i="8" s="1"/>
  <c r="AN29" i="8" s="1"/>
  <c r="AJ20" i="8"/>
  <c r="AM20" i="8" s="1"/>
  <c r="AN20" i="8" s="1"/>
  <c r="BV31" i="8"/>
  <c r="BX31" i="8" s="1"/>
  <c r="BZ31" i="8" s="1"/>
  <c r="AJ23" i="8"/>
  <c r="AM23" i="8" s="1"/>
  <c r="AN23" i="8" s="1"/>
  <c r="AJ34" i="8"/>
  <c r="AM34" i="8" s="1"/>
  <c r="AN34" i="8" s="1"/>
  <c r="AJ12" i="8"/>
  <c r="AM12" i="8" s="1"/>
  <c r="AN12" i="8" s="1"/>
  <c r="N19" i="8"/>
  <c r="N16" i="8"/>
  <c r="BG25" i="8"/>
  <c r="BG23" i="8"/>
  <c r="BG34" i="8"/>
  <c r="BG22" i="8"/>
  <c r="BG8" i="8"/>
  <c r="N25" i="8"/>
  <c r="AS13" i="8"/>
  <c r="AU13" i="8" s="1"/>
  <c r="AW13" i="8" s="1"/>
  <c r="AS6" i="8"/>
  <c r="AU6" i="8" s="1"/>
  <c r="BG28" i="8"/>
  <c r="BG30" i="8"/>
  <c r="BG33" i="8"/>
  <c r="BG21" i="8"/>
  <c r="BG10" i="8"/>
  <c r="BG6" i="8"/>
  <c r="BQ18" i="8"/>
  <c r="AA7" i="8"/>
  <c r="AD7" i="8" s="1"/>
  <c r="AE7" i="8" s="1"/>
  <c r="W7" i="8"/>
  <c r="X7" i="8" s="1"/>
  <c r="T20" i="8"/>
  <c r="T12" i="8"/>
  <c r="T32" i="8"/>
  <c r="N23" i="8"/>
  <c r="N34" i="8"/>
  <c r="N22" i="8"/>
  <c r="N11" i="8"/>
  <c r="N8" i="8"/>
  <c r="T17" i="8"/>
  <c r="AJ16" i="8"/>
  <c r="AM16" i="8" s="1"/>
  <c r="AN16" i="8" s="1"/>
  <c r="AJ25" i="8"/>
  <c r="AM25" i="8" s="1"/>
  <c r="AN25" i="8" s="1"/>
  <c r="AJ8" i="8"/>
  <c r="AM8" i="8" s="1"/>
  <c r="AN8" i="8" s="1"/>
  <c r="AS23" i="8"/>
  <c r="AU23" i="8" s="1"/>
  <c r="AW23" i="8" s="1"/>
  <c r="AS34" i="8"/>
  <c r="AU34" i="8" s="1"/>
  <c r="BQ25" i="8"/>
  <c r="BQ23" i="8"/>
  <c r="BQ22" i="8"/>
  <c r="BQ8" i="8"/>
  <c r="AS18" i="8"/>
  <c r="AU18" i="8" s="1"/>
  <c r="AS21" i="8"/>
  <c r="AU21" i="8" s="1"/>
  <c r="AW21" i="8" s="1"/>
  <c r="BQ30" i="8"/>
  <c r="BQ21" i="8"/>
  <c r="BQ10" i="8"/>
  <c r="BQ28" i="8"/>
  <c r="BQ20" i="8"/>
  <c r="BQ6" i="8" s="1"/>
  <c r="T22" i="8"/>
  <c r="T30" i="8"/>
  <c r="T21" i="8"/>
  <c r="T11" i="8"/>
  <c r="T27" i="8"/>
  <c r="T23" i="8"/>
  <c r="T15" i="8"/>
  <c r="N12" i="8"/>
  <c r="N20" i="8"/>
  <c r="N18" i="8"/>
  <c r="N17" i="8"/>
  <c r="N26" i="8"/>
  <c r="N33" i="8"/>
  <c r="R33" i="8" s="1"/>
  <c r="N29" i="8"/>
  <c r="N32" i="8"/>
  <c r="N30" i="8"/>
  <c r="N24" i="8"/>
  <c r="N14" i="8"/>
  <c r="R14" i="8" s="1"/>
  <c r="N13" i="8"/>
  <c r="N15" i="8"/>
  <c r="N31" i="8"/>
  <c r="AW6" i="8"/>
  <c r="AS22" i="8"/>
  <c r="AU22" i="8" s="1"/>
  <c r="AW22" i="8" s="1"/>
  <c r="T24" i="8"/>
  <c r="T14" i="8"/>
  <c r="AS25" i="8"/>
  <c r="AU25" i="8" s="1"/>
  <c r="AW25" i="8" s="1"/>
  <c r="AS29" i="8"/>
  <c r="AU29" i="8" s="1"/>
  <c r="AW29" i="8" s="1"/>
  <c r="AS10" i="8"/>
  <c r="AU10" i="8" s="1"/>
  <c r="AS14" i="8"/>
  <c r="AU14" i="8" s="1"/>
  <c r="AW14" i="8" s="1"/>
  <c r="AS9" i="8"/>
  <c r="AU9" i="8" s="1"/>
  <c r="AW9" i="8" s="1"/>
  <c r="T19" i="8"/>
  <c r="AS12" i="8"/>
  <c r="AU12" i="8" s="1"/>
  <c r="AW12" i="8" s="1"/>
  <c r="AS27" i="8"/>
  <c r="AU27" i="8" s="1"/>
  <c r="AW27" i="8" s="1"/>
  <c r="AS32" i="8"/>
  <c r="AU32" i="8" s="1"/>
  <c r="AW32" i="8" s="1"/>
  <c r="AS26" i="8"/>
  <c r="AU26" i="8" s="1"/>
  <c r="AS19" i="8"/>
  <c r="AU19" i="8" s="1"/>
  <c r="AS11" i="8"/>
  <c r="AU11" i="8" s="1"/>
  <c r="AW11" i="8" s="1"/>
  <c r="AS15" i="8"/>
  <c r="AU15" i="8" s="1"/>
  <c r="AW15" i="8" s="1"/>
  <c r="AS8" i="8"/>
  <c r="AU8" i="8" s="1"/>
  <c r="AW8" i="8" s="1"/>
  <c r="T29" i="8"/>
  <c r="T18" i="8"/>
  <c r="T13" i="8"/>
  <c r="AS16" i="8"/>
  <c r="AU16" i="8" s="1"/>
  <c r="AW16" i="8" s="1"/>
  <c r="AS24" i="8"/>
  <c r="AU24" i="8" s="1"/>
  <c r="AW24" i="8" s="1"/>
  <c r="AS20" i="8"/>
  <c r="AU20" i="8" s="1"/>
  <c r="AW20" i="8" s="1"/>
  <c r="AS17" i="8"/>
  <c r="AU17" i="8" s="1"/>
  <c r="AW17" i="8" s="1"/>
  <c r="AS31" i="8"/>
  <c r="AU31" i="8" s="1"/>
  <c r="AW31" i="8" s="1"/>
  <c r="AS28" i="8"/>
  <c r="AU28" i="8" s="1"/>
  <c r="AW28" i="8" s="1"/>
  <c r="AS30" i="8"/>
  <c r="AU30" i="8" s="1"/>
  <c r="AW30" i="8" s="1"/>
  <c r="AS33" i="8"/>
  <c r="AU33" i="8" s="1"/>
  <c r="AW33" i="8" s="1"/>
  <c r="T8" i="8"/>
  <c r="AJ28" i="8"/>
  <c r="AM28" i="8" s="1"/>
  <c r="AN28" i="8" s="1"/>
  <c r="AJ30" i="8"/>
  <c r="AM30" i="8" s="1"/>
  <c r="AN30" i="8" s="1"/>
  <c r="AJ33" i="8"/>
  <c r="AM33" i="8" s="1"/>
  <c r="AN33" i="8" s="1"/>
  <c r="AJ26" i="8"/>
  <c r="AM26" i="8" s="1"/>
  <c r="AN26" i="8" s="1"/>
  <c r="AJ19" i="8"/>
  <c r="AM19" i="8" s="1"/>
  <c r="AN19" i="8" s="1"/>
  <c r="AJ10" i="8"/>
  <c r="AM10" i="8" s="1"/>
  <c r="AN10" i="8" s="1"/>
  <c r="AJ11" i="8"/>
  <c r="AM11" i="8" s="1"/>
  <c r="AN11" i="8" s="1"/>
  <c r="AJ15" i="8"/>
  <c r="AM15" i="8" s="1"/>
  <c r="AN15" i="8" s="1"/>
  <c r="AJ6" i="8"/>
  <c r="AM6" i="8" s="1"/>
  <c r="AN6" i="8" s="1"/>
  <c r="AJ31" i="8"/>
  <c r="AM31" i="8" s="1"/>
  <c r="AN31" i="8" s="1"/>
  <c r="AJ27" i="8"/>
  <c r="AM27" i="8" s="1"/>
  <c r="AN27" i="8" s="1"/>
  <c r="AJ32" i="8"/>
  <c r="AM32" i="8" s="1"/>
  <c r="AN32" i="8" s="1"/>
  <c r="AJ21" i="8"/>
  <c r="AM21" i="8" s="1"/>
  <c r="AN21" i="8" s="1"/>
  <c r="AJ14" i="8"/>
  <c r="AM14" i="8" s="1"/>
  <c r="AN14" i="8" s="1"/>
  <c r="Q18" i="8"/>
  <c r="U18" i="8"/>
  <c r="Q20" i="8"/>
  <c r="U20" i="8"/>
  <c r="Q22" i="8"/>
  <c r="U22" i="8"/>
  <c r="Q19" i="8"/>
  <c r="U19" i="8"/>
  <c r="Q8" i="8"/>
  <c r="U8" i="8"/>
  <c r="Q16" i="8"/>
  <c r="U16" i="8"/>
  <c r="U27" i="8"/>
  <c r="Q27" i="8"/>
  <c r="R27" i="8" s="1"/>
  <c r="Q29" i="8"/>
  <c r="U29" i="8"/>
  <c r="Q13" i="8"/>
  <c r="U13" i="8"/>
  <c r="AA13" i="8" s="1"/>
  <c r="Q12" i="8"/>
  <c r="U12" i="8"/>
  <c r="Q6" i="8"/>
  <c r="R6" i="8" s="1"/>
  <c r="U6" i="8"/>
  <c r="U25" i="8"/>
  <c r="Q25" i="8"/>
  <c r="R25" i="8" s="1"/>
  <c r="Q11" i="8"/>
  <c r="U11" i="8"/>
  <c r="U34" i="8"/>
  <c r="Q34" i="8"/>
  <c r="R34" i="8" s="1"/>
  <c r="U26" i="8"/>
  <c r="Q26" i="8"/>
  <c r="R26" i="8" s="1"/>
  <c r="Q24" i="8"/>
  <c r="U24" i="8"/>
  <c r="Q23" i="8"/>
  <c r="U23" i="8"/>
  <c r="Q32" i="8"/>
  <c r="U32" i="8"/>
  <c r="Q17" i="8"/>
  <c r="U17" i="8"/>
  <c r="U9" i="8"/>
  <c r="Q9" i="8"/>
  <c r="R9" i="8" s="1"/>
  <c r="Q15" i="8"/>
  <c r="U15" i="8"/>
  <c r="Q31" i="8"/>
  <c r="U31" i="8"/>
  <c r="R28" i="8"/>
  <c r="R30" i="8"/>
  <c r="U28" i="8"/>
  <c r="U30" i="8"/>
  <c r="U33" i="8"/>
  <c r="U21" i="8"/>
  <c r="U10" i="8"/>
  <c r="U14" i="8"/>
  <c r="R23" i="8" l="1"/>
  <c r="R13" i="8"/>
  <c r="R20" i="8"/>
  <c r="R24" i="8"/>
  <c r="R19" i="8"/>
  <c r="R31" i="8"/>
  <c r="R16" i="8"/>
  <c r="R11" i="8"/>
  <c r="AA10" i="8"/>
  <c r="W10" i="8"/>
  <c r="X10" i="8" s="1"/>
  <c r="AA15" i="8"/>
  <c r="W15" i="8"/>
  <c r="X15" i="8" s="1"/>
  <c r="AA23" i="8"/>
  <c r="W23" i="8"/>
  <c r="X23" i="8" s="1"/>
  <c r="AA11" i="8"/>
  <c r="W11" i="8"/>
  <c r="X11" i="8" s="1"/>
  <c r="AA6" i="8"/>
  <c r="W6" i="8"/>
  <c r="X6" i="8" s="1"/>
  <c r="R15" i="8"/>
  <c r="AA26" i="8"/>
  <c r="W26" i="8"/>
  <c r="X26" i="8" s="1"/>
  <c r="AA27" i="8"/>
  <c r="W27" i="8"/>
  <c r="X27" i="8" s="1"/>
  <c r="R22" i="8"/>
  <c r="AA17" i="8"/>
  <c r="W17" i="8"/>
  <c r="X17" i="8" s="1"/>
  <c r="AW7" i="8"/>
  <c r="I7" i="8" s="1"/>
  <c r="AW34" i="8"/>
  <c r="AW10" i="8"/>
  <c r="AW26" i="8"/>
  <c r="AW19" i="8"/>
  <c r="AA21" i="8"/>
  <c r="W21" i="8"/>
  <c r="X21" i="8" s="1"/>
  <c r="AA31" i="8"/>
  <c r="W31" i="8"/>
  <c r="X31" i="8" s="1"/>
  <c r="AA32" i="8"/>
  <c r="W32" i="8"/>
  <c r="X32" i="8" s="1"/>
  <c r="AA12" i="8"/>
  <c r="W12" i="8"/>
  <c r="X12" i="8" s="1"/>
  <c r="AA29" i="8"/>
  <c r="W29" i="8"/>
  <c r="X29" i="8" s="1"/>
  <c r="AA16" i="8"/>
  <c r="AD16" i="8" s="1"/>
  <c r="AE16" i="8" s="1"/>
  <c r="W16" i="8"/>
  <c r="X16" i="8" s="1"/>
  <c r="AA19" i="8"/>
  <c r="AD19" i="8" s="1"/>
  <c r="W19" i="8"/>
  <c r="X19" i="8" s="1"/>
  <c r="AA20" i="8"/>
  <c r="AD20" i="8" s="1"/>
  <c r="AE20" i="8" s="1"/>
  <c r="W20" i="8"/>
  <c r="X20" i="8" s="1"/>
  <c r="AA28" i="8"/>
  <c r="W28" i="8"/>
  <c r="X28" i="8" s="1"/>
  <c r="AD13" i="8"/>
  <c r="AE13" i="8" s="1"/>
  <c r="AA8" i="8"/>
  <c r="W8" i="8"/>
  <c r="X8" i="8" s="1"/>
  <c r="AA22" i="8"/>
  <c r="W22" i="8"/>
  <c r="X22" i="8" s="1"/>
  <c r="AA18" i="8"/>
  <c r="AD18" i="8" s="1"/>
  <c r="AE18" i="8" s="1"/>
  <c r="W18" i="8"/>
  <c r="X18" i="8" s="1"/>
  <c r="AA33" i="8"/>
  <c r="W33" i="8"/>
  <c r="X33" i="8" s="1"/>
  <c r="AA24" i="8"/>
  <c r="W24" i="8"/>
  <c r="X24" i="8" s="1"/>
  <c r="AA14" i="8"/>
  <c r="W14" i="8"/>
  <c r="X14" i="8" s="1"/>
  <c r="AA30" i="8"/>
  <c r="W30" i="8"/>
  <c r="X30" i="8" s="1"/>
  <c r="AA9" i="8"/>
  <c r="W9" i="8"/>
  <c r="X9" i="8" s="1"/>
  <c r="AA34" i="8"/>
  <c r="W34" i="8"/>
  <c r="X34" i="8" s="1"/>
  <c r="AA25" i="8"/>
  <c r="W25" i="8"/>
  <c r="X25" i="8" s="1"/>
  <c r="R8" i="8"/>
  <c r="R18" i="8"/>
  <c r="R17" i="8"/>
  <c r="R29" i="8"/>
  <c r="R12" i="8"/>
  <c r="R32" i="8"/>
  <c r="A6" i="47"/>
  <c r="I20" i="8" l="1"/>
  <c r="AE19" i="8"/>
  <c r="I19" i="8" s="1"/>
  <c r="I16" i="8"/>
  <c r="AD30" i="8"/>
  <c r="AE30" i="8" s="1"/>
  <c r="I30" i="8" s="1"/>
  <c r="AD11" i="8"/>
  <c r="AE11" i="8" s="1"/>
  <c r="I11" i="8" s="1"/>
  <c r="AD8" i="8"/>
  <c r="AE8" i="8" s="1"/>
  <c r="I8" i="8" s="1"/>
  <c r="AD28" i="8"/>
  <c r="AE28" i="8" s="1"/>
  <c r="I28" i="8" s="1"/>
  <c r="AD12" i="8"/>
  <c r="AE12" i="8" s="1"/>
  <c r="I12" i="8" s="1"/>
  <c r="AD31" i="8"/>
  <c r="AE31" i="8"/>
  <c r="I31" i="8" s="1"/>
  <c r="AD24" i="8"/>
  <c r="AE24" i="8" s="1"/>
  <c r="I24" i="8" s="1"/>
  <c r="AD17" i="8"/>
  <c r="AE17" i="8" s="1"/>
  <c r="I17" i="8" s="1"/>
  <c r="AD25" i="8"/>
  <c r="AE25" i="8" s="1"/>
  <c r="I25" i="8" s="1"/>
  <c r="I18" i="8"/>
  <c r="AD9" i="8"/>
  <c r="AE9" i="8" s="1"/>
  <c r="I9" i="8" s="1"/>
  <c r="AD14" i="8"/>
  <c r="AE14" i="8" s="1"/>
  <c r="I14" i="8" s="1"/>
  <c r="AD33" i="8"/>
  <c r="AE33" i="8" s="1"/>
  <c r="I33" i="8" s="1"/>
  <c r="AD29" i="8"/>
  <c r="AE29" i="8" s="1"/>
  <c r="I29" i="8" s="1"/>
  <c r="AD26" i="8"/>
  <c r="AE26" i="8" s="1"/>
  <c r="I26" i="8" s="1"/>
  <c r="AD6" i="8"/>
  <c r="AE6" i="8" s="1"/>
  <c r="I6" i="8" s="1"/>
  <c r="AD15" i="8"/>
  <c r="AE15" i="8" s="1"/>
  <c r="I15" i="8" s="1"/>
  <c r="AD21" i="8"/>
  <c r="AE21" i="8" s="1"/>
  <c r="I21" i="8" s="1"/>
  <c r="AD10" i="8"/>
  <c r="AE10" i="8" s="1"/>
  <c r="I10" i="8" s="1"/>
  <c r="AD34" i="8"/>
  <c r="AE34" i="8" s="1"/>
  <c r="I34" i="8" s="1"/>
  <c r="AD22" i="8"/>
  <c r="AE22" i="8" s="1"/>
  <c r="I22" i="8" s="1"/>
  <c r="AD32" i="8"/>
  <c r="AE32" i="8" s="1"/>
  <c r="I32" i="8" s="1"/>
  <c r="AD27" i="8"/>
  <c r="AE27" i="8" s="1"/>
  <c r="I27" i="8" s="1"/>
  <c r="AD23" i="8"/>
  <c r="AE23" i="8" s="1"/>
  <c r="I23" i="8" s="1"/>
  <c r="A6" i="45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2" i="8" l="1"/>
  <c r="A29" i="8"/>
  <c r="A23" i="8"/>
  <c r="A28" i="8"/>
  <c r="A27" i="8"/>
  <c r="A25" i="8"/>
  <c r="A30" i="8"/>
  <c r="A34" i="8"/>
  <c r="A31" i="8"/>
  <c r="A26" i="8"/>
  <c r="A33" i="8"/>
  <c r="A24" i="8"/>
  <c r="E27" i="26"/>
  <c r="E26" i="26"/>
  <c r="E22" i="26"/>
  <c r="E19" i="26"/>
  <c r="E14" i="26"/>
  <c r="J29" i="26"/>
  <c r="J28" i="26"/>
  <c r="J26" i="26"/>
  <c r="J25" i="26"/>
  <c r="J24" i="26"/>
  <c r="J22" i="26"/>
  <c r="J20" i="26"/>
  <c r="J19" i="26"/>
  <c r="J18" i="26"/>
  <c r="J17" i="26"/>
  <c r="J15" i="26"/>
  <c r="A33" i="26"/>
  <c r="E33" i="26"/>
  <c r="E13" i="26"/>
  <c r="D27" i="26"/>
  <c r="D16" i="26"/>
  <c r="D21" i="26"/>
  <c r="E21" i="26" s="1"/>
  <c r="D23" i="26"/>
  <c r="E23" i="26" s="1"/>
  <c r="D22" i="26"/>
  <c r="D15" i="26"/>
  <c r="E15" i="26" s="1"/>
  <c r="D20" i="26"/>
  <c r="E20" i="26" s="1"/>
  <c r="D26" i="26"/>
  <c r="C27" i="70"/>
  <c r="C28" i="70"/>
  <c r="C29" i="70"/>
  <c r="C25" i="71"/>
  <c r="C24" i="71"/>
  <c r="C23" i="71"/>
  <c r="C24" i="53"/>
  <c r="C23" i="53"/>
  <c r="A42" i="72"/>
  <c r="E41" i="72"/>
  <c r="C41" i="72"/>
  <c r="C40" i="72"/>
  <c r="C39" i="72"/>
  <c r="C38" i="72"/>
  <c r="C37" i="72"/>
  <c r="C36" i="72"/>
  <c r="C35" i="72"/>
  <c r="C34" i="72"/>
  <c r="C33" i="72"/>
  <c r="C32" i="72"/>
  <c r="C31" i="72"/>
  <c r="C30" i="72"/>
  <c r="C29" i="72"/>
  <c r="C28" i="72"/>
  <c r="C27" i="72"/>
  <c r="C26" i="72"/>
  <c r="C25" i="72"/>
  <c r="C24" i="72"/>
  <c r="C23" i="72"/>
  <c r="C22" i="72"/>
  <c r="C21" i="72"/>
  <c r="C13" i="72"/>
  <c r="C12" i="72"/>
  <c r="C11" i="72"/>
  <c r="C10" i="72"/>
  <c r="C9" i="72"/>
  <c r="C8" i="72"/>
  <c r="C7" i="72"/>
  <c r="A7" i="72"/>
  <c r="A8" i="72" s="1"/>
  <c r="A9" i="72" s="1"/>
  <c r="A10" i="72" s="1"/>
  <c r="A11" i="72" s="1"/>
  <c r="A12" i="72" s="1"/>
  <c r="A13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C6" i="72"/>
  <c r="A6" i="72"/>
  <c r="E5" i="72"/>
  <c r="D3" i="72"/>
  <c r="G2" i="72"/>
  <c r="D2" i="72"/>
  <c r="D1" i="72"/>
  <c r="E43" i="71"/>
  <c r="C43" i="71"/>
  <c r="C42" i="71"/>
  <c r="C41" i="71"/>
  <c r="C33" i="71"/>
  <c r="C32" i="71"/>
  <c r="C31" i="71"/>
  <c r="C30" i="71"/>
  <c r="C29" i="71"/>
  <c r="C28" i="71"/>
  <c r="C27" i="71"/>
  <c r="C26" i="71"/>
  <c r="E23" i="71"/>
  <c r="C22" i="71"/>
  <c r="C21" i="71"/>
  <c r="E20" i="71"/>
  <c r="C20" i="71"/>
  <c r="C19" i="71"/>
  <c r="C18" i="71"/>
  <c r="C17" i="71"/>
  <c r="C16" i="71"/>
  <c r="C15" i="71"/>
  <c r="C14" i="71"/>
  <c r="C13" i="71"/>
  <c r="C12" i="71"/>
  <c r="E11" i="71"/>
  <c r="C11" i="71"/>
  <c r="C10" i="71"/>
  <c r="C9" i="71"/>
  <c r="C8" i="71"/>
  <c r="C7" i="71"/>
  <c r="C6" i="71"/>
  <c r="A6" i="71"/>
  <c r="A7" i="71" s="1"/>
  <c r="A8" i="71" s="1"/>
  <c r="A9" i="71" s="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E5" i="71"/>
  <c r="D3" i="71"/>
  <c r="G2" i="71"/>
  <c r="D2" i="71"/>
  <c r="D1" i="71"/>
  <c r="E64" i="70"/>
  <c r="C64" i="70"/>
  <c r="C63" i="70"/>
  <c r="C62" i="70"/>
  <c r="C61" i="70"/>
  <c r="C60" i="70"/>
  <c r="E59" i="70"/>
  <c r="C59" i="70"/>
  <c r="C58" i="70"/>
  <c r="C57" i="70"/>
  <c r="C56" i="70"/>
  <c r="C55" i="70"/>
  <c r="C54" i="70"/>
  <c r="C53" i="70"/>
  <c r="C52" i="70"/>
  <c r="C51" i="70"/>
  <c r="C50" i="70"/>
  <c r="C49" i="70"/>
  <c r="C48" i="70"/>
  <c r="C47" i="70"/>
  <c r="C46" i="70"/>
  <c r="C45" i="70"/>
  <c r="C44" i="70"/>
  <c r="C43" i="70"/>
  <c r="C42" i="70"/>
  <c r="C41" i="70"/>
  <c r="C40" i="70"/>
  <c r="C39" i="70"/>
  <c r="C38" i="70"/>
  <c r="E37" i="70"/>
  <c r="C37" i="70"/>
  <c r="C36" i="70"/>
  <c r="C35" i="70"/>
  <c r="C34" i="70"/>
  <c r="C33" i="70"/>
  <c r="C32" i="70"/>
  <c r="C31" i="70"/>
  <c r="C30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3" i="70"/>
  <c r="C12" i="70"/>
  <c r="C11" i="70"/>
  <c r="C10" i="70"/>
  <c r="C9" i="70"/>
  <c r="C8" i="70"/>
  <c r="C7" i="70"/>
  <c r="C6" i="70"/>
  <c r="A6" i="70"/>
  <c r="A7" i="70" s="1"/>
  <c r="A8" i="70" s="1"/>
  <c r="A9" i="70" s="1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D3" i="70"/>
  <c r="G2" i="70"/>
  <c r="D2" i="70"/>
  <c r="D1" i="70"/>
  <c r="C26" i="53"/>
  <c r="C25" i="53"/>
  <c r="C20" i="53"/>
  <c r="C19" i="53"/>
  <c r="C18" i="53"/>
  <c r="C17" i="53"/>
  <c r="C16" i="53"/>
  <c r="C15" i="53"/>
  <c r="C14" i="53"/>
  <c r="C13" i="53"/>
  <c r="C53" i="58"/>
  <c r="C52" i="58"/>
  <c r="C51" i="58"/>
  <c r="C50" i="58"/>
  <c r="C49" i="58"/>
  <c r="C48" i="58"/>
  <c r="C47" i="58"/>
  <c r="C46" i="58"/>
  <c r="C45" i="58"/>
  <c r="C44" i="58"/>
  <c r="C43" i="58"/>
  <c r="C42" i="58"/>
  <c r="C41" i="58"/>
  <c r="C40" i="58"/>
  <c r="C39" i="58"/>
  <c r="C38" i="58"/>
  <c r="C37" i="58"/>
  <c r="A25" i="71" l="1"/>
  <c r="A26" i="71" s="1"/>
  <c r="A27" i="71" s="1"/>
  <c r="A28" i="71" s="1"/>
  <c r="A29" i="71" s="1"/>
  <c r="A30" i="71" s="1"/>
  <c r="A31" i="71" s="1"/>
  <c r="A32" i="71" s="1"/>
  <c r="A33" i="71" s="1"/>
  <c r="A40" i="71" s="1"/>
  <c r="A41" i="71" s="1"/>
  <c r="A42" i="71" s="1"/>
  <c r="A43" i="71" s="1"/>
  <c r="A24" i="71"/>
  <c r="E16" i="26"/>
  <c r="A31" i="70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A45" i="70" s="1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57" i="70" s="1"/>
  <c r="A58" i="70" s="1"/>
  <c r="A59" i="70" s="1"/>
  <c r="A60" i="70" s="1"/>
  <c r="A61" i="70" s="1"/>
  <c r="A62" i="70" s="1"/>
  <c r="A63" i="70" s="1"/>
  <c r="A64" i="70" s="1"/>
  <c r="C36" i="58"/>
  <c r="C35" i="58"/>
  <c r="C34" i="58"/>
  <c r="C33" i="58"/>
  <c r="C8" i="65"/>
  <c r="C7" i="65"/>
  <c r="C6" i="65"/>
  <c r="C5" i="65"/>
  <c r="B10" i="65"/>
  <c r="C9" i="65" s="1"/>
  <c r="B5" i="65"/>
  <c r="B9" i="64"/>
  <c r="C9" i="64" s="1"/>
  <c r="B8" i="64"/>
  <c r="B7" i="64"/>
  <c r="C13" i="64"/>
  <c r="C12" i="64"/>
  <c r="C11" i="64"/>
  <c r="C10" i="64"/>
  <c r="B6" i="64"/>
  <c r="D2" i="68"/>
  <c r="B3" i="68"/>
  <c r="B2" i="68"/>
  <c r="B1" i="68"/>
  <c r="B5" i="68"/>
  <c r="C5" i="68" s="1"/>
  <c r="D5" i="68" s="1"/>
  <c r="A6" i="68" s="1"/>
  <c r="B6" i="68" s="1"/>
  <c r="C6" i="68" s="1"/>
  <c r="D6" i="68" s="1"/>
  <c r="A7" i="68" s="1"/>
  <c r="C6" i="64" l="1"/>
  <c r="C8" i="64"/>
  <c r="C7" i="64"/>
  <c r="E41" i="59"/>
  <c r="G7" i="65"/>
  <c r="H7" i="65" s="1"/>
  <c r="G6" i="65"/>
  <c r="H6" i="65" s="1"/>
  <c r="E23" i="53"/>
  <c r="E5" i="59"/>
  <c r="A42" i="59" l="1"/>
  <c r="A41" i="63" l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57" i="63" s="1"/>
  <c r="A58" i="63" s="1"/>
  <c r="A59" i="63" s="1"/>
  <c r="A60" i="63" s="1"/>
  <c r="A61" i="63" s="1"/>
  <c r="A62" i="63" s="1"/>
  <c r="A63" i="63" s="1"/>
  <c r="C33" i="63"/>
  <c r="B35" i="63"/>
  <c r="B2" i="65" l="1"/>
  <c r="B2" i="66"/>
  <c r="B1" i="66" l="1"/>
  <c r="B1" i="65"/>
  <c r="A9" i="67" l="1"/>
  <c r="A10" i="67" s="1"/>
  <c r="A11" i="67" s="1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C1" i="67"/>
  <c r="A105" i="30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C97" i="30"/>
  <c r="AF4" i="8"/>
  <c r="B99" i="30"/>
  <c r="B3" i="67"/>
  <c r="CA4" i="8" l="1"/>
  <c r="BR4" i="8"/>
  <c r="BH4" i="8"/>
  <c r="AO4" i="8" l="1"/>
  <c r="AX4" i="8"/>
  <c r="CJ4" i="8"/>
  <c r="AA4" i="8"/>
  <c r="U4" i="8"/>
  <c r="O4" i="8" l="1"/>
  <c r="L4" i="8" l="1"/>
  <c r="C41" i="59" l="1"/>
  <c r="C40" i="59"/>
  <c r="D3" i="55"/>
  <c r="D3" i="50"/>
  <c r="D3" i="54"/>
  <c r="G11" i="54"/>
  <c r="G10" i="54"/>
  <c r="G9" i="54"/>
  <c r="G8" i="54"/>
  <c r="G7" i="54"/>
  <c r="G6" i="54"/>
  <c r="C11" i="54"/>
  <c r="C10" i="54"/>
  <c r="C9" i="54"/>
  <c r="C8" i="54"/>
  <c r="C7" i="54"/>
  <c r="G12" i="50"/>
  <c r="G11" i="50"/>
  <c r="G10" i="50"/>
  <c r="G9" i="50"/>
  <c r="G8" i="50"/>
  <c r="G7" i="50"/>
  <c r="G6" i="50"/>
  <c r="C12" i="50"/>
  <c r="C11" i="50"/>
  <c r="C10" i="50"/>
  <c r="C9" i="50"/>
  <c r="C8" i="50"/>
  <c r="C7" i="50"/>
  <c r="G9" i="55"/>
  <c r="G8" i="55"/>
  <c r="G7" i="55"/>
  <c r="G6" i="55"/>
  <c r="C9" i="55"/>
  <c r="C8" i="55"/>
  <c r="C7" i="55"/>
  <c r="G25" i="66" l="1"/>
  <c r="C25" i="66"/>
  <c r="G24" i="66"/>
  <c r="C24" i="66"/>
  <c r="G23" i="66"/>
  <c r="C23" i="66"/>
  <c r="G22" i="66"/>
  <c r="C22" i="66"/>
  <c r="G21" i="66"/>
  <c r="C21" i="66"/>
  <c r="G20" i="66"/>
  <c r="C20" i="66"/>
  <c r="G19" i="66"/>
  <c r="C19" i="66"/>
  <c r="G18" i="66"/>
  <c r="C18" i="66"/>
  <c r="G17" i="66"/>
  <c r="C17" i="66"/>
  <c r="G16" i="66"/>
  <c r="C16" i="66"/>
  <c r="G15" i="66"/>
  <c r="C15" i="66"/>
  <c r="G14" i="66"/>
  <c r="C14" i="66"/>
  <c r="G13" i="66"/>
  <c r="C13" i="66"/>
  <c r="G12" i="66"/>
  <c r="C12" i="66"/>
  <c r="G11" i="66"/>
  <c r="C11" i="66"/>
  <c r="G10" i="66"/>
  <c r="C10" i="66"/>
  <c r="G9" i="66"/>
  <c r="C9" i="66"/>
  <c r="G8" i="66"/>
  <c r="C8" i="66"/>
  <c r="G7" i="66"/>
  <c r="C7" i="66"/>
  <c r="G6" i="66"/>
  <c r="C6" i="66"/>
  <c r="G5" i="66"/>
  <c r="C5" i="66"/>
  <c r="G9" i="65"/>
  <c r="G8" i="65"/>
  <c r="H8" i="65" s="1"/>
  <c r="G5" i="65"/>
  <c r="G13" i="64"/>
  <c r="H13" i="64" s="1"/>
  <c r="G12" i="64"/>
  <c r="H12" i="64" s="1"/>
  <c r="G11" i="64"/>
  <c r="H11" i="64" s="1"/>
  <c r="G10" i="64"/>
  <c r="H10" i="64" s="1"/>
  <c r="G9" i="64"/>
  <c r="H9" i="64" s="1"/>
  <c r="G8" i="64"/>
  <c r="H8" i="64" s="1"/>
  <c r="G7" i="64"/>
  <c r="H7" i="64" s="1"/>
  <c r="G6" i="64"/>
  <c r="H6" i="64" s="1"/>
  <c r="G5" i="64"/>
  <c r="C5" i="64"/>
  <c r="B2" i="64"/>
  <c r="B1" i="64"/>
  <c r="H6" i="66" l="1"/>
  <c r="H8" i="66"/>
  <c r="H10" i="66"/>
  <c r="H12" i="66"/>
  <c r="H14" i="66"/>
  <c r="H16" i="66"/>
  <c r="H18" i="66"/>
  <c r="H20" i="66"/>
  <c r="H22" i="66"/>
  <c r="H24" i="66"/>
  <c r="H5" i="66"/>
  <c r="H7" i="66"/>
  <c r="H9" i="66"/>
  <c r="H11" i="66"/>
  <c r="H13" i="66"/>
  <c r="H15" i="66"/>
  <c r="H17" i="66"/>
  <c r="H19" i="66"/>
  <c r="H21" i="66"/>
  <c r="H23" i="66"/>
  <c r="H25" i="66"/>
  <c r="H9" i="65"/>
  <c r="H5" i="65"/>
  <c r="H5" i="64"/>
  <c r="H27" i="66" l="1"/>
  <c r="H11" i="65"/>
  <c r="H12" i="65" s="1"/>
  <c r="H15" i="64"/>
  <c r="H28" i="66" l="1"/>
  <c r="I14" i="9"/>
  <c r="I12" i="9"/>
  <c r="H16" i="64"/>
  <c r="I8" i="9"/>
  <c r="C58" i="58"/>
  <c r="C57" i="58"/>
  <c r="C56" i="58"/>
  <c r="C55" i="58"/>
  <c r="C54" i="58"/>
  <c r="C32" i="58"/>
  <c r="C31" i="58"/>
  <c r="C30" i="58"/>
  <c r="C29" i="58"/>
  <c r="C28" i="58"/>
  <c r="C27" i="58"/>
  <c r="C26" i="58"/>
  <c r="C25" i="58"/>
  <c r="C24" i="58"/>
  <c r="C23" i="58"/>
  <c r="C22" i="58"/>
  <c r="C21" i="58"/>
  <c r="C20" i="58"/>
  <c r="C19" i="58"/>
  <c r="C18" i="58"/>
  <c r="C17" i="58"/>
  <c r="C16" i="58"/>
  <c r="C11" i="58"/>
  <c r="C10" i="58"/>
  <c r="C9" i="58"/>
  <c r="C8" i="58"/>
  <c r="C7" i="58"/>
  <c r="C39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13" i="59"/>
  <c r="C12" i="59"/>
  <c r="C11" i="59"/>
  <c r="C10" i="59"/>
  <c r="C9" i="59"/>
  <c r="C8" i="59"/>
  <c r="C7" i="59"/>
  <c r="C43" i="53"/>
  <c r="C42" i="53"/>
  <c r="C41" i="53"/>
  <c r="C33" i="53"/>
  <c r="C32" i="53"/>
  <c r="C31" i="53"/>
  <c r="C30" i="53"/>
  <c r="C29" i="53"/>
  <c r="C28" i="53"/>
  <c r="C27" i="53"/>
  <c r="C22" i="53"/>
  <c r="C21" i="53"/>
  <c r="C12" i="53"/>
  <c r="C11" i="53"/>
  <c r="C10" i="53"/>
  <c r="C9" i="53"/>
  <c r="C8" i="53"/>
  <c r="C7" i="53"/>
  <c r="J13" i="26"/>
  <c r="J12" i="26"/>
  <c r="J11" i="26"/>
  <c r="A29" i="26"/>
  <c r="E5" i="53"/>
  <c r="E58" i="58"/>
  <c r="I14" i="26" l="1"/>
  <c r="A31" i="7"/>
  <c r="A7" i="47" l="1"/>
  <c r="A8" i="47" s="1"/>
  <c r="A9" i="47" s="1"/>
  <c r="A10" i="47" s="1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9" i="63"/>
  <c r="A10" i="63" s="1"/>
  <c r="A11" i="63" s="1"/>
  <c r="A12" i="63" s="1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C1" i="63"/>
  <c r="A9" i="7"/>
  <c r="M21" i="7"/>
  <c r="A21" i="7"/>
  <c r="A17" i="7"/>
  <c r="I15" i="7"/>
  <c r="A15" i="7"/>
  <c r="M10" i="7"/>
  <c r="I11" i="7"/>
  <c r="A7" i="7"/>
  <c r="B3" i="63"/>
  <c r="A33" i="47" l="1"/>
  <c r="A34" i="47" s="1"/>
  <c r="A35" i="47" s="1"/>
  <c r="A13" i="26"/>
  <c r="A26" i="26"/>
  <c r="A24" i="26"/>
  <c r="E12" i="26"/>
  <c r="C12" i="26"/>
  <c r="C13" i="26" s="1"/>
  <c r="C33" i="26" s="1"/>
  <c r="C14" i="26" s="1"/>
  <c r="C15" i="26" s="1"/>
  <c r="C16" i="26" s="1"/>
  <c r="C17" i="26" s="1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A12" i="26"/>
  <c r="G33" i="63"/>
  <c r="G1" i="63"/>
  <c r="A73" i="31" l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C65" i="31"/>
  <c r="A41" i="3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C33" i="31"/>
  <c r="A41" i="48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C33" i="48"/>
  <c r="A73" i="30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C65" i="30"/>
  <c r="A41" i="30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C33" i="30"/>
  <c r="A9" i="30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C1" i="30"/>
  <c r="A41" i="5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C33" i="51"/>
  <c r="A9" i="5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C1" i="51"/>
  <c r="I23" i="26"/>
  <c r="I21" i="26"/>
  <c r="A23" i="26"/>
  <c r="A22" i="26"/>
  <c r="G2" i="53"/>
  <c r="E20" i="53"/>
  <c r="I27" i="26"/>
  <c r="G1" i="51"/>
  <c r="B67" i="30"/>
  <c r="B35" i="48"/>
  <c r="B35" i="51"/>
  <c r="B35" i="30"/>
  <c r="B3" i="51"/>
  <c r="G33" i="31"/>
  <c r="B67" i="31"/>
  <c r="B3" i="30"/>
  <c r="B35" i="31"/>
  <c r="G5" i="55" l="1"/>
  <c r="C6" i="55"/>
  <c r="A6" i="55"/>
  <c r="A7" i="55" s="1"/>
  <c r="A8" i="55" s="1"/>
  <c r="A9" i="55" s="1"/>
  <c r="C6" i="50"/>
  <c r="G5" i="54"/>
  <c r="C6" i="54"/>
  <c r="E29" i="62"/>
  <c r="C29" i="62"/>
  <c r="C28" i="62"/>
  <c r="C27" i="62"/>
  <c r="C26" i="62"/>
  <c r="C25" i="62"/>
  <c r="E24" i="62"/>
  <c r="C24" i="62"/>
  <c r="C23" i="62"/>
  <c r="E22" i="62"/>
  <c r="C22" i="62"/>
  <c r="C21" i="62"/>
  <c r="C20" i="62"/>
  <c r="C19" i="62"/>
  <c r="C18" i="62"/>
  <c r="C17" i="62"/>
  <c r="C16" i="62"/>
  <c r="C15" i="62"/>
  <c r="C14" i="62"/>
  <c r="C13" i="62"/>
  <c r="C12" i="62"/>
  <c r="C11" i="62"/>
  <c r="C10" i="62"/>
  <c r="C9" i="62"/>
  <c r="C8" i="62"/>
  <c r="C7" i="62"/>
  <c r="C6" i="62"/>
  <c r="A6" i="62"/>
  <c r="A7" i="62" s="1"/>
  <c r="A8" i="62" s="1"/>
  <c r="A9" i="62" s="1"/>
  <c r="A10" i="62" s="1"/>
  <c r="A11" i="62" s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E5" i="62"/>
  <c r="D3" i="62"/>
  <c r="G2" i="62"/>
  <c r="D2" i="62"/>
  <c r="D1" i="62"/>
  <c r="A31" i="61" l="1"/>
  <c r="E30" i="61"/>
  <c r="C30" i="61"/>
  <c r="C29" i="61"/>
  <c r="C28" i="61"/>
  <c r="C27" i="61"/>
  <c r="C26" i="61"/>
  <c r="C25" i="61"/>
  <c r="C24" i="61"/>
  <c r="C23" i="61"/>
  <c r="C22" i="61"/>
  <c r="C21" i="61"/>
  <c r="C13" i="61"/>
  <c r="C12" i="61"/>
  <c r="C11" i="61"/>
  <c r="C10" i="61"/>
  <c r="C9" i="61"/>
  <c r="C8" i="61"/>
  <c r="C7" i="61"/>
  <c r="C6" i="61"/>
  <c r="A6" i="61"/>
  <c r="A7" i="61" s="1"/>
  <c r="A8" i="61" s="1"/>
  <c r="A9" i="61" s="1"/>
  <c r="A10" i="61" s="1"/>
  <c r="A11" i="61" s="1"/>
  <c r="A12" i="61" s="1"/>
  <c r="A13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E5" i="61"/>
  <c r="D3" i="61"/>
  <c r="G2" i="61"/>
  <c r="D2" i="61"/>
  <c r="D1" i="61"/>
  <c r="A50" i="60" l="1"/>
  <c r="A2" i="60"/>
  <c r="C6" i="58"/>
  <c r="D13" i="9"/>
  <c r="H11" i="9"/>
  <c r="D24" i="26" l="1"/>
  <c r="E24" i="26" s="1"/>
  <c r="G24" i="71"/>
  <c r="G24" i="53"/>
  <c r="G23" i="53"/>
  <c r="G43" i="71"/>
  <c r="G33" i="71"/>
  <c r="G31" i="71"/>
  <c r="G29" i="71"/>
  <c r="G27" i="71"/>
  <c r="G25" i="71"/>
  <c r="G19" i="71"/>
  <c r="G17" i="71"/>
  <c r="G15" i="71"/>
  <c r="G13" i="71"/>
  <c r="G11" i="71"/>
  <c r="G1" i="71"/>
  <c r="G20" i="53"/>
  <c r="G16" i="53"/>
  <c r="G12" i="53"/>
  <c r="G41" i="71"/>
  <c r="G22" i="71"/>
  <c r="G20" i="71"/>
  <c r="G9" i="71"/>
  <c r="G15" i="53"/>
  <c r="G32" i="71"/>
  <c r="G30" i="71"/>
  <c r="G28" i="71"/>
  <c r="G26" i="71"/>
  <c r="G23" i="71"/>
  <c r="G18" i="71"/>
  <c r="G16" i="71"/>
  <c r="G14" i="71"/>
  <c r="G12" i="71"/>
  <c r="G5" i="71"/>
  <c r="G25" i="53"/>
  <c r="G18" i="53"/>
  <c r="G14" i="53"/>
  <c r="G42" i="71"/>
  <c r="G40" i="71"/>
  <c r="G21" i="71"/>
  <c r="G10" i="71"/>
  <c r="G8" i="71"/>
  <c r="G6" i="71"/>
  <c r="G17" i="53"/>
  <c r="G13" i="53"/>
  <c r="G7" i="71"/>
  <c r="G19" i="53"/>
  <c r="G40" i="53"/>
  <c r="G30" i="53"/>
  <c r="G26" i="53"/>
  <c r="G10" i="53"/>
  <c r="G6" i="53"/>
  <c r="G43" i="53"/>
  <c r="G33" i="53"/>
  <c r="G29" i="53"/>
  <c r="G9" i="53"/>
  <c r="G42" i="53"/>
  <c r="G32" i="53"/>
  <c r="G28" i="53"/>
  <c r="G22" i="53"/>
  <c r="G8" i="53"/>
  <c r="G41" i="53"/>
  <c r="G31" i="53"/>
  <c r="G27" i="53"/>
  <c r="G21" i="53"/>
  <c r="G11" i="53"/>
  <c r="G7" i="53"/>
  <c r="E11" i="53"/>
  <c r="I16" i="26" l="1"/>
  <c r="A14" i="26" l="1"/>
  <c r="A28" i="26"/>
  <c r="A27" i="26"/>
  <c r="A21" i="26"/>
  <c r="A20" i="26"/>
  <c r="A19" i="26"/>
  <c r="A17" i="26"/>
  <c r="A16" i="26"/>
  <c r="A15" i="26"/>
  <c r="G97" i="30"/>
  <c r="G65" i="31"/>
  <c r="G33" i="51"/>
  <c r="G1" i="67"/>
  <c r="G65" i="30"/>
  <c r="G33" i="48"/>
  <c r="G1" i="30"/>
  <c r="G33" i="30"/>
  <c r="D15" i="9" l="1"/>
  <c r="C6" i="59"/>
  <c r="D3" i="59"/>
  <c r="D2" i="59"/>
  <c r="A6" i="59"/>
  <c r="A7" i="59" s="1"/>
  <c r="A8" i="59" s="1"/>
  <c r="A9" i="59" s="1"/>
  <c r="A10" i="59" s="1"/>
  <c r="A11" i="59" s="1"/>
  <c r="A12" i="59" s="1"/>
  <c r="A13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G2" i="59"/>
  <c r="G1" i="59"/>
  <c r="D1" i="59"/>
  <c r="H9" i="9"/>
  <c r="E53" i="58"/>
  <c r="E31" i="58"/>
  <c r="A21" i="9"/>
  <c r="D28" i="26" l="1"/>
  <c r="E28" i="26" s="1"/>
  <c r="G10" i="72"/>
  <c r="G39" i="59"/>
  <c r="G31" i="59"/>
  <c r="G12" i="59"/>
  <c r="G34" i="59"/>
  <c r="G26" i="59"/>
  <c r="G11" i="59"/>
  <c r="G40" i="72"/>
  <c r="G38" i="72"/>
  <c r="G36" i="72"/>
  <c r="G34" i="72"/>
  <c r="G32" i="72"/>
  <c r="G30" i="72"/>
  <c r="G28" i="72"/>
  <c r="G26" i="72"/>
  <c r="G24" i="72"/>
  <c r="G22" i="72"/>
  <c r="G20" i="72"/>
  <c r="G6" i="72"/>
  <c r="G30" i="59"/>
  <c r="G41" i="72"/>
  <c r="G13" i="72"/>
  <c r="G11" i="72"/>
  <c r="G9" i="72"/>
  <c r="G7" i="72"/>
  <c r="G1" i="72"/>
  <c r="G41" i="59"/>
  <c r="G37" i="59"/>
  <c r="G33" i="59"/>
  <c r="G29" i="59"/>
  <c r="G25" i="59"/>
  <c r="G21" i="59"/>
  <c r="G10" i="59"/>
  <c r="G6" i="59"/>
  <c r="G35" i="59"/>
  <c r="G27" i="59"/>
  <c r="G23" i="59"/>
  <c r="G8" i="59"/>
  <c r="G39" i="72"/>
  <c r="G37" i="72"/>
  <c r="G35" i="72"/>
  <c r="G33" i="72"/>
  <c r="G31" i="72"/>
  <c r="G29" i="72"/>
  <c r="G27" i="72"/>
  <c r="G25" i="72"/>
  <c r="G23" i="72"/>
  <c r="G21" i="72"/>
  <c r="G40" i="59"/>
  <c r="G36" i="59"/>
  <c r="G32" i="59"/>
  <c r="G28" i="59"/>
  <c r="G24" i="59"/>
  <c r="G13" i="59"/>
  <c r="G9" i="59"/>
  <c r="G12" i="72"/>
  <c r="G8" i="72"/>
  <c r="G5" i="72"/>
  <c r="G38" i="59"/>
  <c r="G22" i="59"/>
  <c r="G7" i="59"/>
  <c r="G20" i="59"/>
  <c r="G5" i="59"/>
  <c r="G30" i="61"/>
  <c r="G12" i="61"/>
  <c r="G10" i="61"/>
  <c r="G8" i="61"/>
  <c r="G5" i="61"/>
  <c r="G28" i="61"/>
  <c r="G26" i="61"/>
  <c r="G24" i="61"/>
  <c r="G22" i="61"/>
  <c r="G20" i="61"/>
  <c r="G6" i="61"/>
  <c r="G11" i="61"/>
  <c r="G9" i="61"/>
  <c r="G7" i="61"/>
  <c r="G1" i="61"/>
  <c r="G29" i="61"/>
  <c r="G27" i="61"/>
  <c r="G25" i="61"/>
  <c r="G23" i="61"/>
  <c r="G13" i="61"/>
  <c r="G21" i="61"/>
  <c r="E19" i="9"/>
  <c r="J11" i="9" l="1"/>
  <c r="J9" i="9"/>
  <c r="D10" i="9"/>
  <c r="A6" i="58"/>
  <c r="A7" i="58" s="1"/>
  <c r="A8" i="58" s="1"/>
  <c r="A9" i="58" s="1"/>
  <c r="A10" i="58" s="1"/>
  <c r="A11" i="58" s="1"/>
  <c r="D3" i="58"/>
  <c r="G2" i="58"/>
  <c r="D2" i="58"/>
  <c r="D1" i="58"/>
  <c r="A15" i="58" l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2" i="58" s="1"/>
  <c r="A53" i="58" s="1"/>
  <c r="A54" i="58" s="1"/>
  <c r="A55" i="58" s="1"/>
  <c r="A56" i="58" s="1"/>
  <c r="A57" i="58" s="1"/>
  <c r="A58" i="58" s="1"/>
  <c r="G31" i="70"/>
  <c r="G15" i="58"/>
  <c r="G28" i="70"/>
  <c r="G21" i="70"/>
  <c r="D17" i="26"/>
  <c r="E17" i="26" s="1"/>
  <c r="G27" i="70"/>
  <c r="G63" i="70"/>
  <c r="G61" i="70"/>
  <c r="G59" i="70"/>
  <c r="G36" i="70"/>
  <c r="G34" i="70"/>
  <c r="G32" i="70"/>
  <c r="G30" i="70"/>
  <c r="G26" i="70"/>
  <c r="G24" i="70"/>
  <c r="G22" i="70"/>
  <c r="G20" i="70"/>
  <c r="G18" i="70"/>
  <c r="G16" i="70"/>
  <c r="G14" i="70"/>
  <c r="G12" i="70"/>
  <c r="G10" i="70"/>
  <c r="G8" i="70"/>
  <c r="G6" i="70"/>
  <c r="G1" i="70"/>
  <c r="G64" i="70"/>
  <c r="G57" i="70"/>
  <c r="G55" i="70"/>
  <c r="G53" i="70"/>
  <c r="G51" i="70"/>
  <c r="G49" i="70"/>
  <c r="G47" i="70"/>
  <c r="G45" i="70"/>
  <c r="G43" i="70"/>
  <c r="G41" i="70"/>
  <c r="G39" i="70"/>
  <c r="G37" i="70"/>
  <c r="G56" i="70"/>
  <c r="G54" i="70"/>
  <c r="G50" i="70"/>
  <c r="G46" i="70"/>
  <c r="G42" i="70"/>
  <c r="G38" i="70"/>
  <c r="G5" i="70"/>
  <c r="G62" i="70"/>
  <c r="G60" i="70"/>
  <c r="G35" i="70"/>
  <c r="G33" i="70"/>
  <c r="G29" i="70"/>
  <c r="G25" i="70"/>
  <c r="G23" i="70"/>
  <c r="G19" i="70"/>
  <c r="G17" i="70"/>
  <c r="G15" i="70"/>
  <c r="G13" i="70"/>
  <c r="G11" i="70"/>
  <c r="G9" i="70"/>
  <c r="G7" i="70"/>
  <c r="G58" i="70"/>
  <c r="G52" i="70"/>
  <c r="G48" i="70"/>
  <c r="G44" i="70"/>
  <c r="G40" i="70"/>
  <c r="D1" i="68"/>
  <c r="G42" i="58"/>
  <c r="G43" i="58"/>
  <c r="G41" i="58"/>
  <c r="G55" i="58"/>
  <c r="G51" i="58"/>
  <c r="G47" i="58"/>
  <c r="G38" i="58"/>
  <c r="G34" i="58"/>
  <c r="G30" i="58"/>
  <c r="G26" i="58"/>
  <c r="G22" i="58"/>
  <c r="G18" i="58"/>
  <c r="G8" i="58"/>
  <c r="G58" i="58"/>
  <c r="G54" i="58"/>
  <c r="G50" i="58"/>
  <c r="G46" i="58"/>
  <c r="G37" i="58"/>
  <c r="G33" i="58"/>
  <c r="G29" i="58"/>
  <c r="G25" i="58"/>
  <c r="G21" i="58"/>
  <c r="G17" i="58"/>
  <c r="G11" i="58"/>
  <c r="G7" i="58"/>
  <c r="G57" i="58"/>
  <c r="G53" i="58"/>
  <c r="G49" i="58"/>
  <c r="G45" i="58"/>
  <c r="G40" i="58"/>
  <c r="G36" i="58"/>
  <c r="G32" i="58"/>
  <c r="G28" i="58"/>
  <c r="G24" i="58"/>
  <c r="G20" i="58"/>
  <c r="G16" i="58"/>
  <c r="G10" i="58"/>
  <c r="G6" i="58"/>
  <c r="G56" i="58"/>
  <c r="G52" i="58"/>
  <c r="G48" i="58"/>
  <c r="G44" i="58"/>
  <c r="G39" i="58"/>
  <c r="G35" i="58"/>
  <c r="G31" i="58"/>
  <c r="G27" i="58"/>
  <c r="G23" i="58"/>
  <c r="G19" i="58"/>
  <c r="G9" i="58"/>
  <c r="G29" i="62"/>
  <c r="G23" i="62"/>
  <c r="G22" i="62"/>
  <c r="G5" i="62"/>
  <c r="G1" i="62"/>
  <c r="G13" i="62"/>
  <c r="G10" i="62"/>
  <c r="G8" i="62"/>
  <c r="G6" i="62"/>
  <c r="G28" i="62"/>
  <c r="G27" i="62"/>
  <c r="G26" i="62"/>
  <c r="G25" i="62"/>
  <c r="G24" i="62"/>
  <c r="G21" i="62"/>
  <c r="G20" i="62"/>
  <c r="G19" i="62"/>
  <c r="G18" i="62"/>
  <c r="G17" i="62"/>
  <c r="G16" i="62"/>
  <c r="G15" i="62"/>
  <c r="G14" i="62"/>
  <c r="G12" i="62"/>
  <c r="G11" i="62"/>
  <c r="G9" i="62"/>
  <c r="G7" i="62"/>
  <c r="D19" i="9"/>
  <c r="G5" i="58"/>
  <c r="G1" i="58"/>
  <c r="E43" i="53"/>
  <c r="G1" i="55" l="1"/>
  <c r="D1" i="55"/>
  <c r="G1" i="54"/>
  <c r="A6" i="54"/>
  <c r="A7" i="54" s="1"/>
  <c r="A8" i="54" s="1"/>
  <c r="A9" i="54" s="1"/>
  <c r="A10" i="54" s="1"/>
  <c r="A11" i="54" s="1"/>
  <c r="D1" i="54"/>
  <c r="D3" i="53" l="1"/>
  <c r="D2" i="53"/>
  <c r="C6" i="53"/>
  <c r="A6" i="53"/>
  <c r="A7" i="53" s="1"/>
  <c r="A8" i="53" s="1"/>
  <c r="A9" i="53" s="1"/>
  <c r="A10" i="53" s="1"/>
  <c r="A11" i="53" s="1"/>
  <c r="A12" i="53" s="1"/>
  <c r="A13" i="53" s="1"/>
  <c r="A14" i="53" s="1"/>
  <c r="D1" i="53"/>
  <c r="A15" i="53" l="1"/>
  <c r="A16" i="53" s="1"/>
  <c r="A17" i="53" s="1"/>
  <c r="A18" i="53" s="1"/>
  <c r="A19" i="53" s="1"/>
  <c r="A20" i="53" s="1"/>
  <c r="A23" i="7"/>
  <c r="A21" i="53" l="1"/>
  <c r="A22" i="53" s="1"/>
  <c r="A23" i="53" s="1"/>
  <c r="M16" i="7"/>
  <c r="A24" i="53" l="1"/>
  <c r="A25" i="53" s="1"/>
  <c r="A26" i="53" s="1"/>
  <c r="A27" i="53" s="1"/>
  <c r="A28" i="53" s="1"/>
  <c r="A29" i="53" s="1"/>
  <c r="A30" i="53" s="1"/>
  <c r="A31" i="53" s="1"/>
  <c r="A32" i="53" s="1"/>
  <c r="A33" i="53" s="1"/>
  <c r="A40" i="53" s="1"/>
  <c r="A41" i="53" s="1"/>
  <c r="A42" i="53" s="1"/>
  <c r="A43" i="53" s="1"/>
  <c r="A6" i="50"/>
  <c r="A7" i="50" s="1"/>
  <c r="A8" i="50" s="1"/>
  <c r="A9" i="50" s="1"/>
  <c r="A10" i="50" s="1"/>
  <c r="A11" i="50" s="1"/>
  <c r="A12" i="50" s="1"/>
  <c r="G5" i="50" l="1"/>
  <c r="G1" i="50"/>
  <c r="D1" i="50"/>
  <c r="C1" i="9" l="1"/>
  <c r="E14" i="32" l="1"/>
  <c r="AH4" i="8"/>
  <c r="A29" i="7"/>
  <c r="A19" i="7"/>
  <c r="A25" i="7"/>
  <c r="A13" i="7"/>
  <c r="A11" i="7"/>
  <c r="A5" i="7"/>
  <c r="G7" i="9"/>
  <c r="C1" i="8"/>
  <c r="C1" i="47"/>
  <c r="C1" i="25"/>
  <c r="C1" i="46"/>
  <c r="C1" i="31"/>
  <c r="C1" i="48"/>
  <c r="C1" i="49"/>
  <c r="C1" i="10"/>
  <c r="C1" i="7"/>
  <c r="A50" i="39"/>
  <c r="A2" i="39"/>
  <c r="D1" i="45"/>
  <c r="C22" i="34"/>
  <c r="C1" i="34"/>
  <c r="H11" i="26" l="1"/>
  <c r="L11" i="26" s="1"/>
  <c r="A9" i="49" l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B3" i="49"/>
  <c r="B3" i="48"/>
  <c r="G1" i="10"/>
  <c r="B3" i="10"/>
  <c r="B3" i="46"/>
  <c r="B3" i="25"/>
  <c r="B3" i="31"/>
  <c r="M11" i="26" l="1"/>
  <c r="K11" i="26"/>
  <c r="B30" i="26"/>
  <c r="D34" i="7" l="1"/>
  <c r="F34" i="7" s="1"/>
  <c r="A9" i="48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G1" i="49"/>
  <c r="A9" i="46" l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l="1"/>
  <c r="A29" i="46" s="1"/>
  <c r="A30" i="46" s="1"/>
  <c r="A31" i="46" s="1"/>
  <c r="A35" i="45" l="1"/>
  <c r="E12" i="32" l="1"/>
  <c r="E13" i="32" l="1"/>
  <c r="B14" i="32"/>
  <c r="B13" i="32"/>
  <c r="G12" i="32"/>
  <c r="D12" i="32"/>
  <c r="C12" i="32"/>
  <c r="B12" i="32"/>
  <c r="A12" i="32"/>
  <c r="G1" i="48"/>
  <c r="G1" i="46"/>
  <c r="G1" i="31"/>
  <c r="L1" i="25"/>
  <c r="I3" i="32" l="1"/>
  <c r="L2" i="32"/>
  <c r="I2" i="32"/>
  <c r="I1" i="32"/>
  <c r="G34" i="7" l="1"/>
  <c r="I34" i="7" l="1"/>
  <c r="J34" i="7" s="1"/>
  <c r="L34" i="7" s="1"/>
  <c r="M34" i="7" l="1"/>
  <c r="N34" i="7" s="1"/>
  <c r="O34" i="7" s="1"/>
  <c r="C35" i="7" s="1"/>
  <c r="D35" i="7" s="1"/>
  <c r="F35" i="7" s="1"/>
  <c r="G35" i="7" s="1"/>
  <c r="I35" i="7" s="1"/>
  <c r="J35" i="7" s="1"/>
  <c r="L35" i="7" s="1"/>
  <c r="M35" i="7" s="1"/>
  <c r="N35" i="7" s="1"/>
  <c r="O35" i="7" s="1"/>
  <c r="A9" i="31" l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G5" i="53" l="1"/>
  <c r="G1" i="53"/>
  <c r="G14" i="32"/>
  <c r="G13" i="32"/>
  <c r="L1" i="32" l="1"/>
  <c r="E30" i="26" l="1"/>
  <c r="E31" i="26" s="1"/>
  <c r="F10" i="9" l="1"/>
  <c r="F33" i="26" s="1"/>
  <c r="G33" i="26" s="1"/>
  <c r="D3" i="68" l="1"/>
  <c r="G3" i="70"/>
  <c r="F16" i="26"/>
  <c r="G16" i="26" s="1"/>
  <c r="F14" i="26"/>
  <c r="G14" i="26" s="1"/>
  <c r="F13" i="26"/>
  <c r="G13" i="26" s="1"/>
  <c r="F17" i="26"/>
  <c r="G17" i="26" s="1"/>
  <c r="F15" i="26"/>
  <c r="G15" i="26" s="1"/>
  <c r="G3" i="62"/>
  <c r="F12" i="26"/>
  <c r="G3" i="58"/>
  <c r="F15" i="9"/>
  <c r="G3" i="72" s="1"/>
  <c r="G12" i="26" l="1"/>
  <c r="H12" i="26" s="1"/>
  <c r="H13" i="26" s="1"/>
  <c r="H14" i="26" s="1"/>
  <c r="H15" i="26" s="1"/>
  <c r="H16" i="26" s="1"/>
  <c r="H17" i="26" s="1"/>
  <c r="H18" i="26" s="1"/>
  <c r="F28" i="26"/>
  <c r="G28" i="26" s="1"/>
  <c r="F26" i="26"/>
  <c r="G26" i="26" s="1"/>
  <c r="F27" i="26"/>
  <c r="G27" i="26" s="1"/>
  <c r="G3" i="61"/>
  <c r="G3" i="59"/>
  <c r="L12" i="26" l="1"/>
  <c r="C14" i="32"/>
  <c r="J14" i="26" l="1"/>
  <c r="H33" i="26"/>
  <c r="J33" i="26"/>
  <c r="L13" i="26"/>
  <c r="M13" i="26" s="1"/>
  <c r="K12" i="26"/>
  <c r="M12" i="26"/>
  <c r="G10" i="9"/>
  <c r="F36" i="63"/>
  <c r="F4" i="63"/>
  <c r="J16" i="26" l="1"/>
  <c r="M33" i="26"/>
  <c r="K33" i="26"/>
  <c r="L33" i="26"/>
  <c r="K13" i="26"/>
  <c r="L14" i="26"/>
  <c r="G13" i="9"/>
  <c r="G15" i="9" s="1"/>
  <c r="F13" i="9"/>
  <c r="F35" i="63"/>
  <c r="F3" i="63"/>
  <c r="F3" i="10"/>
  <c r="F4" i="10"/>
  <c r="G3" i="71" l="1"/>
  <c r="M14" i="26"/>
  <c r="K14" i="26"/>
  <c r="L15" i="26"/>
  <c r="K15" i="26"/>
  <c r="M15" i="26"/>
  <c r="F23" i="26"/>
  <c r="G23" i="26" s="1"/>
  <c r="F21" i="26"/>
  <c r="G21" i="26" s="1"/>
  <c r="F24" i="26"/>
  <c r="G24" i="26" s="1"/>
  <c r="F22" i="26"/>
  <c r="G22" i="26" s="1"/>
  <c r="F20" i="26"/>
  <c r="G20" i="26" s="1"/>
  <c r="G3" i="53"/>
  <c r="F19" i="26"/>
  <c r="G19" i="26" s="1"/>
  <c r="H19" i="26" s="1"/>
  <c r="H20" i="26" l="1"/>
  <c r="H21" i="26" s="1"/>
  <c r="H22" i="26" s="1"/>
  <c r="H23" i="26" s="1"/>
  <c r="H24" i="26" s="1"/>
  <c r="H25" i="26" s="1"/>
  <c r="H26" i="26" s="1"/>
  <c r="H27" i="26" s="1"/>
  <c r="H28" i="26" s="1"/>
  <c r="H29" i="26" s="1"/>
  <c r="J21" i="26"/>
  <c r="L17" i="26"/>
  <c r="K17" i="26"/>
  <c r="M17" i="26"/>
  <c r="L16" i="26"/>
  <c r="K16" i="26"/>
  <c r="M16" i="26"/>
  <c r="G30" i="26"/>
  <c r="G31" i="26" s="1"/>
  <c r="L3" i="32"/>
  <c r="F4" i="49"/>
  <c r="F4" i="48"/>
  <c r="F3" i="48"/>
  <c r="F3" i="49"/>
  <c r="J23" i="26" l="1"/>
  <c r="L19" i="26"/>
  <c r="K19" i="26"/>
  <c r="M19" i="26"/>
  <c r="A13" i="32"/>
  <c r="F4" i="67"/>
  <c r="F3" i="67"/>
  <c r="J27" i="26" l="1"/>
  <c r="L20" i="26"/>
  <c r="M20" i="26"/>
  <c r="K20" i="26"/>
  <c r="L15" i="32"/>
  <c r="F4" i="46"/>
  <c r="F3" i="46"/>
  <c r="L22" i="26" l="1"/>
  <c r="M22" i="26"/>
  <c r="K22" i="26"/>
  <c r="A14" i="32"/>
  <c r="F3" i="30"/>
  <c r="F3" i="31"/>
  <c r="F4" i="30"/>
  <c r="F4" i="31"/>
  <c r="L24" i="26" l="1"/>
  <c r="K24" i="26"/>
  <c r="M24" i="26"/>
  <c r="L21" i="26"/>
  <c r="K21" i="26"/>
  <c r="M21" i="26"/>
  <c r="F35" i="30"/>
  <c r="F36" i="48"/>
  <c r="F35" i="48"/>
  <c r="F36" i="30"/>
  <c r="L26" i="26" l="1"/>
  <c r="M26" i="26"/>
  <c r="K26" i="26"/>
  <c r="L23" i="26"/>
  <c r="K23" i="26"/>
  <c r="M23" i="26"/>
  <c r="F68" i="30"/>
  <c r="F67" i="30"/>
  <c r="F4" i="51"/>
  <c r="F3" i="51"/>
  <c r="F35" i="31"/>
  <c r="F36" i="31"/>
  <c r="L28" i="26" l="1"/>
  <c r="K28" i="26"/>
  <c r="M28" i="26"/>
  <c r="L27" i="26"/>
  <c r="K27" i="26"/>
  <c r="M27" i="26"/>
  <c r="F99" i="30"/>
  <c r="F67" i="31"/>
  <c r="F68" i="31"/>
  <c r="F100" i="30"/>
  <c r="L29" i="26" l="1"/>
  <c r="M29" i="26"/>
  <c r="K29" i="26"/>
  <c r="I13" i="8"/>
  <c r="K3" i="25"/>
  <c r="K4" i="25"/>
  <c r="F36" i="51"/>
  <c r="F35" i="51"/>
  <c r="A7" i="8" l="1"/>
  <c r="A12" i="8"/>
  <c r="A20" i="8"/>
  <c r="A18" i="8"/>
  <c r="A9" i="8"/>
  <c r="A8" i="8"/>
  <c r="A17" i="8"/>
  <c r="A16" i="8"/>
  <c r="A11" i="8"/>
  <c r="A21" i="8"/>
  <c r="A13" i="8"/>
  <c r="A6" i="8"/>
  <c r="A22" i="8"/>
  <c r="A19" i="8"/>
  <c r="A15" i="8"/>
  <c r="A14" i="8"/>
  <c r="A10" i="8"/>
</calcChain>
</file>

<file path=xl/sharedStrings.xml><?xml version="1.0" encoding="utf-8"?>
<sst xmlns="http://schemas.openxmlformats.org/spreadsheetml/2006/main" count="2640" uniqueCount="604">
  <si>
    <t>№</t>
  </si>
  <si>
    <t>Общее</t>
  </si>
  <si>
    <t>Интервал</t>
  </si>
  <si>
    <t>Дорожная ситуация</t>
  </si>
  <si>
    <t>Информация</t>
  </si>
  <si>
    <t>До КВ</t>
  </si>
  <si>
    <t>В случае схода с дистанции или происшествия</t>
  </si>
  <si>
    <t>Смоленск</t>
  </si>
  <si>
    <t>Дистанция</t>
  </si>
  <si>
    <t>Средняя скорость</t>
  </si>
  <si>
    <t>Норма времени</t>
  </si>
  <si>
    <t>Протокол судейского поста</t>
  </si>
  <si>
    <t>Судья</t>
  </si>
  <si>
    <t>Подпись</t>
  </si>
  <si>
    <t>примечания</t>
  </si>
  <si>
    <t>доп. штраф</t>
  </si>
  <si>
    <t>ВКВ-1</t>
  </si>
  <si>
    <t>ТИ-0</t>
  </si>
  <si>
    <t>Место итоговое</t>
  </si>
  <si>
    <t>Старт. номер</t>
  </si>
  <si>
    <t>Автомобиль</t>
  </si>
  <si>
    <t>Пилот 1</t>
  </si>
  <si>
    <t>Пилот 2</t>
  </si>
  <si>
    <t>Класс</t>
  </si>
  <si>
    <t>Разн., мин</t>
  </si>
  <si>
    <t>Пенал.</t>
  </si>
  <si>
    <t>Фальст.</t>
  </si>
  <si>
    <t>План.</t>
  </si>
  <si>
    <t>Факт.</t>
  </si>
  <si>
    <t>Разн., сек</t>
  </si>
  <si>
    <t>Pro</t>
  </si>
  <si>
    <t>Light</t>
  </si>
  <si>
    <t>Наименование судейского пункта</t>
  </si>
  <si>
    <t>Дорожные соревнования</t>
  </si>
  <si>
    <t>Норма времени, мин</t>
  </si>
  <si>
    <t>Средняя скорость, км/ч</t>
  </si>
  <si>
    <t>Расстояние от предыдущего КВ, км</t>
  </si>
  <si>
    <t>Расчетное время прибытия 1-го экипажа</t>
  </si>
  <si>
    <t>Норма времени, сек</t>
  </si>
  <si>
    <t>Расстояние, км</t>
  </si>
  <si>
    <t>старт</t>
  </si>
  <si>
    <t>финиш</t>
  </si>
  <si>
    <t>Hyundai Solaris</t>
  </si>
  <si>
    <t>13</t>
  </si>
  <si>
    <t>Семочкина Оксана</t>
  </si>
  <si>
    <t>Семченкова Екатерина</t>
  </si>
  <si>
    <t>Курилина Ольга</t>
  </si>
  <si>
    <t>11</t>
  </si>
  <si>
    <t>Бестии</t>
  </si>
  <si>
    <t>Подгаева Александра</t>
  </si>
  <si>
    <t>Старт</t>
  </si>
  <si>
    <t>Пенал.   итого</t>
  </si>
  <si>
    <t>Буквы</t>
  </si>
  <si>
    <t>БУКВЫ:</t>
  </si>
  <si>
    <t>Парковка или прилегающая территория</t>
  </si>
  <si>
    <t>Сплошная линия - дорога с асфальтовым покрытием</t>
  </si>
  <si>
    <t>Мост, путепровод</t>
  </si>
  <si>
    <t>Рельсы</t>
  </si>
  <si>
    <t>Карты</t>
  </si>
  <si>
    <t>Точка начала маневра</t>
  </si>
  <si>
    <t>Направление маневра</t>
  </si>
  <si>
    <t>Начало и конец маршрута</t>
  </si>
  <si>
    <t>Маршрут экипажа</t>
  </si>
  <si>
    <t>Маршрут экипажа и его пересечение с другими дорогами ("слепая карта")</t>
  </si>
  <si>
    <t>Дорожные знаки, введенные организатором (на местности отсутствуют)</t>
  </si>
  <si>
    <t>Блок ("карта с блоками")</t>
  </si>
  <si>
    <t>Стрелка ("карта со стрелками")</t>
  </si>
  <si>
    <t>слалом</t>
  </si>
  <si>
    <t>СТРАНИЦА</t>
  </si>
  <si>
    <t>Ориентир (указан в примечании к позиции)</t>
  </si>
  <si>
    <t>прибытие</t>
  </si>
  <si>
    <t>Доп. пенализация</t>
  </si>
  <si>
    <t>Примечания</t>
  </si>
  <si>
    <t>Класс (Light/Pro)</t>
  </si>
  <si>
    <t>Препочт. старт. номер</t>
  </si>
  <si>
    <t>1-й водитель</t>
  </si>
  <si>
    <t>Контактный телефон</t>
  </si>
  <si>
    <t>2-й водитель</t>
  </si>
  <si>
    <t>Госномер</t>
  </si>
  <si>
    <t>Своей подписью Участники (1-й водитель и 2-й водитель) обязуются соблюдать все требования ПДД РФ, требования Организаторов и судей соревнования, Положения Регламента о Соревновании и Спортивного кодекса РАФ, действуют на свой страх и риск и обязуются не предьявлять требований к Организатору в результате любого конфликта и/или ДТП, совершенного по их вине и/или с их участием. Своей подписью Участники подтверждают согласие на обработку персональных данных.</t>
  </si>
  <si>
    <t>Подпись 1-го водителя</t>
  </si>
  <si>
    <t>Подпись 2-го водителя</t>
  </si>
  <si>
    <t>Кроман Ольга</t>
  </si>
  <si>
    <t>Власенков Кирилл</t>
  </si>
  <si>
    <t>Юзвик Ольга</t>
  </si>
  <si>
    <t>Грушина Елена</t>
  </si>
  <si>
    <t>Лучкин Андрей</t>
  </si>
  <si>
    <t>Лучкин Роман</t>
  </si>
  <si>
    <t>до</t>
  </si>
  <si>
    <t>от</t>
  </si>
  <si>
    <t>примечание</t>
  </si>
  <si>
    <t>Время старта</t>
  </si>
  <si>
    <t>Судейская задержка</t>
  </si>
  <si>
    <t>Название полное</t>
  </si>
  <si>
    <t>Название краткое</t>
  </si>
  <si>
    <t>Дата (даты)</t>
  </si>
  <si>
    <t>Пунктирная линия - дорога с грунтовым покрытием или дорога через прилегающие территории</t>
  </si>
  <si>
    <t>Дорожные знаки - вид "сзади"</t>
  </si>
  <si>
    <t>Дорожная книга</t>
  </si>
  <si>
    <t>Точки ("карта с точками")</t>
  </si>
  <si>
    <t>Светофор - изображается схематично (доп. секции, "стрелки" и пр. не изображаются)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</si>
  <si>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</si>
  <si>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</si>
  <si>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</si>
  <si>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</si>
  <si>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</si>
  <si>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</si>
  <si>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</si>
  <si>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</si>
  <si>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</si>
  <si>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</si>
  <si>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</t>
  </si>
  <si>
    <t>14</t>
  </si>
  <si>
    <t>Доп. соревнования</t>
  </si>
  <si>
    <t>по ДК</t>
  </si>
  <si>
    <t>Город</t>
  </si>
  <si>
    <t>Ворота</t>
  </si>
  <si>
    <t>Шлагбаум</t>
  </si>
  <si>
    <t>Класс Light</t>
  </si>
  <si>
    <t>заметки экипажа</t>
  </si>
  <si>
    <t>Нейтрализация</t>
  </si>
  <si>
    <t>Суд. задержка</t>
  </si>
  <si>
    <t>План</t>
  </si>
  <si>
    <t>Разница, сек</t>
  </si>
  <si>
    <t>Норма времени, сек.</t>
  </si>
  <si>
    <t>Доп. пенал.  (вручн.)</t>
  </si>
  <si>
    <t>Время 1го экипажа</t>
  </si>
  <si>
    <t>Трофисты</t>
  </si>
  <si>
    <t>Лада Гранта</t>
  </si>
  <si>
    <t>ЗеЗе</t>
  </si>
  <si>
    <t>Иванов Сергей</t>
  </si>
  <si>
    <t>Шеститко Павел</t>
  </si>
  <si>
    <t>Subaru Forester</t>
  </si>
  <si>
    <t>Чехов Александр</t>
  </si>
  <si>
    <t>Сущевских Кристина</t>
  </si>
  <si>
    <t>Куда ехать-то?</t>
  </si>
  <si>
    <t>Липатникова Ирина</t>
  </si>
  <si>
    <t>Кудамыкатимся</t>
  </si>
  <si>
    <t>Ну, погоди!</t>
  </si>
  <si>
    <t>Кащеев Сергей</t>
  </si>
  <si>
    <t>Максимова Людмила</t>
  </si>
  <si>
    <t>Chevrolet Aveo</t>
  </si>
  <si>
    <t>Морозова Юлия</t>
  </si>
  <si>
    <t>Кайстро Татьяна</t>
  </si>
  <si>
    <t>Самисусами</t>
  </si>
  <si>
    <t>Прусова Наталья</t>
  </si>
  <si>
    <t>Козлов Юрий</t>
  </si>
  <si>
    <t>МАксима</t>
  </si>
  <si>
    <t>Новиков Максим</t>
  </si>
  <si>
    <t>Грушина Екатерина</t>
  </si>
  <si>
    <t>Число экипажей</t>
  </si>
  <si>
    <t>Иванова Татьяна</t>
  </si>
  <si>
    <t>Кучерявенкова Олеся</t>
  </si>
  <si>
    <t>Марка, модель автомобиля</t>
  </si>
  <si>
    <t>№ п/п</t>
  </si>
  <si>
    <t>1-й пилот</t>
  </si>
  <si>
    <t>2-й пилот</t>
  </si>
  <si>
    <t>Ст. №</t>
  </si>
  <si>
    <t>BMW 118d</t>
  </si>
  <si>
    <t>Мозговая Светлана</t>
  </si>
  <si>
    <t>Сальников Евгений</t>
  </si>
  <si>
    <t>GSN</t>
  </si>
  <si>
    <t>Холиков Игорь</t>
  </si>
  <si>
    <t>Дроздов Сергей</t>
  </si>
  <si>
    <t>Шитикова Виктория</t>
  </si>
  <si>
    <t>Легейда Дмитрий</t>
  </si>
  <si>
    <t>Левинский Борис</t>
  </si>
  <si>
    <t>BlackMan</t>
  </si>
  <si>
    <t>DeutcheKlassiker</t>
  </si>
  <si>
    <t>Черненков Иван</t>
  </si>
  <si>
    <t>Лорченков Максим</t>
  </si>
  <si>
    <t>Мезенин Валентин</t>
  </si>
  <si>
    <t>Бабурченков Евгений</t>
  </si>
  <si>
    <t>Алякин Дмитрий</t>
  </si>
  <si>
    <t>Свешников Егор</t>
  </si>
  <si>
    <t>Саликов Константин</t>
  </si>
  <si>
    <t>Середин Анатолий</t>
  </si>
  <si>
    <t>Экипаж</t>
  </si>
  <si>
    <t>VW Passat</t>
  </si>
  <si>
    <t>Открытие поста</t>
  </si>
  <si>
    <t>факт</t>
  </si>
  <si>
    <t>план</t>
  </si>
  <si>
    <t xml:space="preserve">Закрытие поста </t>
  </si>
  <si>
    <t>Подп.</t>
  </si>
  <si>
    <t>Откр.</t>
  </si>
  <si>
    <t>Закр.</t>
  </si>
  <si>
    <t>Если экипаж в зоне видимости поста остановился, резко изменил направление или скорость движения - вносим время прибытия "расчетное" (расчетное по мнению судьи, как если бы экипаж двигался с изначальной скоростью)</t>
  </si>
  <si>
    <t>Лист ____ из ____</t>
  </si>
  <si>
    <t>Кол-во ошибок</t>
  </si>
  <si>
    <t>Расстояние внутри секции</t>
  </si>
  <si>
    <t>Итого по ралли:</t>
  </si>
  <si>
    <t>Расчет времени работы судейских постов</t>
  </si>
  <si>
    <t>Судьи</t>
  </si>
  <si>
    <t>Дельта</t>
  </si>
  <si>
    <t>Расчет</t>
  </si>
  <si>
    <t>Пост</t>
  </si>
  <si>
    <t>Время открытия постов, мин</t>
  </si>
  <si>
    <t>Время закрытия постов, мин</t>
  </si>
  <si>
    <t>Время на прохождение участка, мин</t>
  </si>
  <si>
    <t>Время 1го экипажа расчет</t>
  </si>
  <si>
    <t>Принудительно (для РУ/РД)</t>
  </si>
  <si>
    <t>Суммарная, мин</t>
  </si>
  <si>
    <t>Минут</t>
  </si>
  <si>
    <t>Судейский пункт</t>
  </si>
  <si>
    <t>Курилин</t>
  </si>
  <si>
    <t>Скорость на секции</t>
  </si>
  <si>
    <t>"Точка-стрелка"</t>
  </si>
  <si>
    <t>Номер строки поста</t>
  </si>
  <si>
    <t>Борисов</t>
  </si>
  <si>
    <t>Старт ралли</t>
  </si>
  <si>
    <t>Грушин</t>
  </si>
  <si>
    <t>Льгота, мин</t>
  </si>
  <si>
    <t>Подкласс</t>
  </si>
  <si>
    <t>Суд. задержка, мин (сумма задержек по ДС)</t>
  </si>
  <si>
    <t>Разница, мин</t>
  </si>
  <si>
    <t>Своей подписью Участники (1-й водитель и 2-й водитель) обязуются соблюдать все требования ПДД РФ, требования Организаторов и судей соревнования, положения Регламента о Соревновании и Спортивного кодекса РАФ, действуют на свой страх и риск и обязуются не предьявлять требований к Организатору в результате любого конфликта и/или ДТП, совершенного по их вине и/или с их участием. Своей подписью Участники подтверждают согласие на обработку персональных данных.</t>
  </si>
  <si>
    <t>ПРОВЕРИТЬ ЭТОТ СТОЛБЕЦ</t>
  </si>
  <si>
    <t>Васильев</t>
  </si>
  <si>
    <t>Время от предыдущей точки, сек (оставить пустым, если в графике)</t>
  </si>
  <si>
    <t>Всего по ралли:</t>
  </si>
  <si>
    <t>Контрольная карта</t>
  </si>
  <si>
    <t>Маршрутный лист</t>
  </si>
  <si>
    <t>Результаты</t>
  </si>
  <si>
    <t>Смотрим: 1) светотехнику, 2) шины, 3) стартовые наклейки и номера, 4) номера с других соревнований должны быть заклеены, 5) прочее (огнетушитель, знак аварийной остановки, стеклоочиститель, …)</t>
  </si>
  <si>
    <t>:            .</t>
  </si>
  <si>
    <t>:</t>
  </si>
  <si>
    <t>час : мин</t>
  </si>
  <si>
    <t>:           :</t>
  </si>
  <si>
    <t>час  :  мин  :  сек</t>
  </si>
  <si>
    <t>мин   :   сек   .    дес</t>
  </si>
  <si>
    <t>:     :</t>
  </si>
  <si>
    <t>:     .</t>
  </si>
  <si>
    <t>8 (910) 787-77-73, 8 (904) 362-47-34, 8 (910) 788-69-82</t>
  </si>
  <si>
    <t>Если экипаж в зоне видимости поста остановился, резко изменил направление или скорость движения - вносим соответсвующую отметку в "примечание" (такое поведение небезопасно)</t>
  </si>
  <si>
    <t>Опоздание на КВ</t>
  </si>
  <si>
    <t>Опережение на КВ</t>
  </si>
  <si>
    <t>Пропуск КВ</t>
  </si>
  <si>
    <t>Отсутсвие отметки на ВКВ</t>
  </si>
  <si>
    <t>Буква</t>
  </si>
  <si>
    <t>Опережение/отставание на РД</t>
  </si>
  <si>
    <t>Опережение на РУ</t>
  </si>
  <si>
    <t>Отставание на РУ</t>
  </si>
  <si>
    <t>Проезд СЛ не по схеме</t>
  </si>
  <si>
    <t>Сбитый конус на СЛ</t>
  </si>
  <si>
    <t>Неостановка базой на СЛ</t>
  </si>
  <si>
    <t>Фальстарт на ДС</t>
  </si>
  <si>
    <t>СЛ коэффициент</t>
  </si>
  <si>
    <t>Опережение на ВКВ сверх льготы</t>
  </si>
  <si>
    <t>Вскрытый конверт</t>
  </si>
  <si>
    <t>Пропуск КП/ФКП</t>
  </si>
  <si>
    <t>Нарушение порядка прохолждения судейских пунктов</t>
  </si>
  <si>
    <t>Нарушение ПДД</t>
  </si>
  <si>
    <t>Опоздание на старт ДС</t>
  </si>
  <si>
    <t>-</t>
  </si>
  <si>
    <t>КВ-0 Старт</t>
  </si>
  <si>
    <t>Точка сбора "Северная"</t>
  </si>
  <si>
    <t>V=80 км/ч</t>
  </si>
  <si>
    <t>Заявка экипажа</t>
  </si>
  <si>
    <t>Условные обозначения</t>
  </si>
  <si>
    <t>V=50 км/ч</t>
  </si>
  <si>
    <t>Отм. финиша - по пересечению желтого щита или подаче КК штурманом (в случае невозможности въезда на пост). Экипаж может "отстаиваться" перед желтым щитом, если это не мешает работе судей и других экипажей</t>
  </si>
  <si>
    <t>В графу "прибытие" вносим время ТОЛЬКО если подошел штурман экипажа и подал КК с просьбой отметить время прибытия</t>
  </si>
  <si>
    <t>Отметка - по пересечению красного щита. Экипаж может "отстаиваться" перед красным щитом (если это не мешает работе судей и других экипажей, в противном случае делаем запись в протоколе)</t>
  </si>
  <si>
    <t>В графу "прибытие" заносим время ТОЛЬКО если подошел штурман экипажа и подал КК с просьбой отметить время прибытия</t>
  </si>
  <si>
    <t>Точка сбора "Южная"</t>
  </si>
  <si>
    <t>Точка сбора "Восточная"</t>
  </si>
  <si>
    <t>Далее - карта</t>
  </si>
  <si>
    <t>ДС-2 РУ</t>
  </si>
  <si>
    <t>КВ-3 Финиш</t>
  </si>
  <si>
    <t>Ралли "Западные ворота - 2017"</t>
  </si>
  <si>
    <t>Западные ворота - 2017</t>
  </si>
  <si>
    <t>ДС-1 РД</t>
  </si>
  <si>
    <t>ДС-3 РУ</t>
  </si>
  <si>
    <t>ДС-4 РД</t>
  </si>
  <si>
    <t xml:space="preserve">
V=80 км/ч</t>
  </si>
  <si>
    <t>АЗС
Заправка при необходимости</t>
  </si>
  <si>
    <t>ХД</t>
  </si>
  <si>
    <t>Плохая дорога</t>
  </si>
  <si>
    <t>ХД на протяжении 4,4 км</t>
  </si>
  <si>
    <t>КВ-2 ПКАД</t>
  </si>
  <si>
    <t>---КВ---КВ---КВ---</t>
  </si>
  <si>
    <t>никого</t>
  </si>
  <si>
    <t>Филоненко</t>
  </si>
  <si>
    <t>РАЗНИЦА:</t>
  </si>
  <si>
    <t>в пер. Пушкина</t>
  </si>
  <si>
    <t>на автодорогу Р-120 Брянск-Смоленск</t>
  </si>
  <si>
    <t>Далее - без ВКВ</t>
  </si>
  <si>
    <t>V=20 км/ч
!!!Возможно движение встречных экипажей!!!</t>
  </si>
  <si>
    <t>!!!</t>
  </si>
  <si>
    <t>!   !!   !!!</t>
  </si>
  <si>
    <t>Здание / церковь</t>
  </si>
  <si>
    <t>От точки F на карте</t>
  </si>
  <si>
    <t>В РК учитывать только асфальтовые дороги</t>
  </si>
  <si>
    <t>25 ноября 2017</t>
  </si>
  <si>
    <t>ДС-5 РД</t>
  </si>
  <si>
    <t>ДС-6 СЛ</t>
  </si>
  <si>
    <t>кирпич на 26.73</t>
  </si>
  <si>
    <t>время 7:45</t>
  </si>
  <si>
    <t>54°25'52.7"N 32°25'23.5"E</t>
  </si>
  <si>
    <t>54.431317, 32.423183</t>
  </si>
  <si>
    <t>54°29'54.1"N 32°25'53.6"E</t>
  </si>
  <si>
    <t>54.498347, 32.431568</t>
  </si>
  <si>
    <t>АЗС                   АЗС
Заправка при необходимости</t>
  </si>
  <si>
    <t>Телефон
Далее - карта</t>
  </si>
  <si>
    <t>время 1:50</t>
  </si>
  <si>
    <t>время 1:17</t>
  </si>
  <si>
    <t>финиш РД, время 23 мин</t>
  </si>
  <si>
    <t>АЗС</t>
  </si>
  <si>
    <t>Время 1:18</t>
  </si>
  <si>
    <t>финиш РД на 20.13</t>
  </si>
  <si>
    <t>ВКВ 0.25 напротив столба с цифрой 2</t>
  </si>
  <si>
    <t>Андронов</t>
  </si>
  <si>
    <t>Опасно! / … / Очень опасно!</t>
  </si>
  <si>
    <t>отметка</t>
  </si>
  <si>
    <t>назначенное</t>
  </si>
  <si>
    <t>фактическое</t>
  </si>
  <si>
    <t>назнач.</t>
  </si>
  <si>
    <t>факт.</t>
  </si>
  <si>
    <t>совмещен с</t>
  </si>
  <si>
    <t>Графу "факт." заполняем только в том случае, если экипаж стартовал во время, отличное от назначенного (с указанием причины в примечаниях)</t>
  </si>
  <si>
    <t>Список заявленных экипажей</t>
  </si>
  <si>
    <t>ВКП-1</t>
  </si>
  <si>
    <r>
      <rPr>
        <b/>
        <sz val="36"/>
        <color theme="1"/>
        <rFont val="Calibri"/>
        <family val="2"/>
        <charset val="204"/>
        <scheme val="minor"/>
      </rPr>
      <t>!!!</t>
    </r>
    <r>
      <rPr>
        <sz val="16"/>
        <color theme="1"/>
        <rFont val="Calibri"/>
        <family val="2"/>
        <charset val="204"/>
        <scheme val="minor"/>
      </rPr>
      <t xml:space="preserve"> Выполните разворот</t>
    </r>
  </si>
  <si>
    <t>РД финиш на 38.07, время ???</t>
  </si>
  <si>
    <t>КВ-1 Борщевик</t>
  </si>
  <si>
    <t>Vср=50 км/ч</t>
  </si>
  <si>
    <t>Vср=ПДД-15 км/ч</t>
  </si>
  <si>
    <r>
      <t xml:space="preserve">Vср=20 км/ч
</t>
    </r>
    <r>
      <rPr>
        <b/>
        <sz val="20"/>
        <color theme="1"/>
        <rFont val="Calibri"/>
        <family val="2"/>
        <charset val="204"/>
        <scheme val="minor"/>
      </rPr>
      <t>!!!</t>
    </r>
    <r>
      <rPr>
        <sz val="20"/>
        <color theme="1"/>
        <rFont val="Calibri"/>
        <family val="2"/>
        <charset val="204"/>
        <scheme val="minor"/>
      </rPr>
      <t xml:space="preserve"> </t>
    </r>
    <r>
      <rPr>
        <sz val="16"/>
        <color theme="1"/>
        <rFont val="Calibri"/>
        <family val="2"/>
        <charset val="204"/>
        <scheme val="minor"/>
      </rPr>
      <t>Возможно движение встречных экипажей</t>
    </r>
  </si>
  <si>
    <t xml:space="preserve">
Vср=ПДД-15 км/ч</t>
  </si>
  <si>
    <t>пройдена</t>
  </si>
  <si>
    <t>Далее - без ВКВ, раннее прибытие на КВ-3 не пенализируется в пределах льготы</t>
  </si>
  <si>
    <t>Точки изменения скорости</t>
  </si>
  <si>
    <t>Расстояние от начала сектора</t>
  </si>
  <si>
    <t>Длина участка</t>
  </si>
  <si>
    <t>Скорость по ПДД / указание в ДК</t>
  </si>
  <si>
    <t>К</t>
  </si>
  <si>
    <t>Средняя скорость движения</t>
  </si>
  <si>
    <t>Время на прохождение участка</t>
  </si>
  <si>
    <t>ДС РД Старт (30 км/ч)</t>
  </si>
  <si>
    <t>Указание в ДК поз. 5 (50 км/ч)</t>
  </si>
  <si>
    <t>Указание в ДК поз. 6 (ПДД-15 км/ч)</t>
  </si>
  <si>
    <t>Указание в ДК поз. 18 (20 км/ч)</t>
  </si>
  <si>
    <t>Указание в ДК поз. 19 (ПДД-15 км/ч)</t>
  </si>
  <si>
    <t>Пригорское</t>
  </si>
  <si>
    <t>Нагать</t>
  </si>
  <si>
    <t>ДС РД Финиш</t>
  </si>
  <si>
    <t>Итого:</t>
  </si>
  <si>
    <t>сек:</t>
  </si>
  <si>
    <t>мин, сек:</t>
  </si>
  <si>
    <t>Знак "20"</t>
  </si>
  <si>
    <t>Перекресток</t>
  </si>
  <si>
    <t>ДС РД Старт (40 км/ч)</t>
  </si>
  <si>
    <t>Пропуск ВКВ (плюс к худшему)</t>
  </si>
  <si>
    <t>Знаки</t>
  </si>
  <si>
    <t>Регистрация</t>
  </si>
  <si>
    <t>ЧасыЖ, часыК</t>
  </si>
  <si>
    <t>ШтампЖ</t>
  </si>
  <si>
    <t>КлФлК</t>
  </si>
  <si>
    <t>ФлК</t>
  </si>
  <si>
    <t>ЧасыК</t>
  </si>
  <si>
    <t>ФлК, КлФлК</t>
  </si>
  <si>
    <t>ЧасыЖ, ЧасыК</t>
  </si>
  <si>
    <t>минимум</t>
  </si>
  <si>
    <t>взять у Андронова</t>
  </si>
  <si>
    <t>ЧасыЖ</t>
  </si>
  <si>
    <t>Взять у Филоненко</t>
  </si>
  <si>
    <t>Отметка</t>
  </si>
  <si>
    <t>Отс. отм. В КК (проехалмимо)</t>
  </si>
  <si>
    <t>-----&gt;</t>
  </si>
  <si>
    <t>Суд. задержка на секторе, мин (сумма задержек по ДС)</t>
  </si>
  <si>
    <t>Реф. время, сек (внести вручную)</t>
  </si>
  <si>
    <t>Фальст. (да/пусто)</t>
  </si>
  <si>
    <t>Финиш не базой (да/пусто)</t>
  </si>
  <si>
    <t>Сбито конусов, шт</t>
  </si>
  <si>
    <t>Проезд не по схеме, раз</t>
  </si>
  <si>
    <t>Время прибытия (пусто - нет отметки)</t>
  </si>
  <si>
    <t>Минимальная норма времени по ПДД, сек.</t>
  </si>
  <si>
    <t>Правильн. (внести вручную)</t>
  </si>
  <si>
    <t>Конверты</t>
  </si>
  <si>
    <t>Вскрыто</t>
  </si>
  <si>
    <t>Время, сек (в формате хх.х)</t>
  </si>
  <si>
    <t>ДС РД Старт (25 км/ч)</t>
  </si>
  <si>
    <t>Сызмас</t>
  </si>
  <si>
    <t>Отметка (пусто - нет отметки)</t>
  </si>
  <si>
    <t>Отмечаем факт проезда экипажа мимо щита, если щит желтый - экипаж НЕ должен останавливаться, если красный - с отметкой в КК</t>
  </si>
  <si>
    <t>Если экипаж в зоне видимости поста остановился, резко изменил направление или скорость движения - вносим время прибытия "расчетное" (расчетное по мнению судьи, как если бы экипаж двигался с изначальной скоростью), если экипаж не остановился - время все равно отмечаем, с примечанием "не остановился"</t>
  </si>
  <si>
    <t>Отметка по пересечению столбика с левой стороны автомобиля</t>
  </si>
  <si>
    <t>Номера блоков / стрелок / точек</t>
  </si>
  <si>
    <t>Алексей</t>
  </si>
  <si>
    <t>ЧасыЖ, ЧасыК, ФлК</t>
  </si>
  <si>
    <t>10:01</t>
  </si>
  <si>
    <t>10:02</t>
  </si>
  <si>
    <t>10:03</t>
  </si>
  <si>
    <t>10:04</t>
  </si>
  <si>
    <t>10:05</t>
  </si>
  <si>
    <t>10:06</t>
  </si>
  <si>
    <t>10:07</t>
  </si>
  <si>
    <t>10:08</t>
  </si>
  <si>
    <t>10:09</t>
  </si>
  <si>
    <t>10:10</t>
  </si>
  <si>
    <t>10:11</t>
  </si>
  <si>
    <t>10:12</t>
  </si>
  <si>
    <t>10:13</t>
  </si>
  <si>
    <t>10:14</t>
  </si>
  <si>
    <t>10:15</t>
  </si>
  <si>
    <t>10:16</t>
  </si>
  <si>
    <t>10:17</t>
  </si>
  <si>
    <t>10:18</t>
  </si>
  <si>
    <t>10:19</t>
  </si>
  <si>
    <t>10:20</t>
  </si>
  <si>
    <t>10:21</t>
  </si>
  <si>
    <t>10:22</t>
  </si>
  <si>
    <t>10:23</t>
  </si>
  <si>
    <t>10:24</t>
  </si>
  <si>
    <t>10:25</t>
  </si>
  <si>
    <t>10:26</t>
  </si>
  <si>
    <t>10:27</t>
  </si>
  <si>
    <t>10:28</t>
  </si>
  <si>
    <t>10:29</t>
  </si>
  <si>
    <t>10:30</t>
  </si>
  <si>
    <t>10:31</t>
  </si>
  <si>
    <t>План (считаем от ДС-5 РД)</t>
  </si>
  <si>
    <r>
      <rPr>
        <b/>
        <sz val="28"/>
        <color theme="1"/>
        <rFont val="Calibri"/>
        <family val="2"/>
        <charset val="204"/>
        <scheme val="minor"/>
      </rPr>
      <t>!!</t>
    </r>
    <r>
      <rPr>
        <sz val="18"/>
        <color theme="1"/>
        <rFont val="Calibri"/>
        <family val="2"/>
        <charset val="204"/>
        <scheme val="minor"/>
      </rPr>
      <t xml:space="preserve"> закрытый поворот</t>
    </r>
  </si>
  <si>
    <r>
      <rPr>
        <b/>
        <sz val="28"/>
        <color theme="1"/>
        <rFont val="Calibri"/>
        <family val="2"/>
        <charset val="204"/>
        <scheme val="minor"/>
      </rPr>
      <t>!!</t>
    </r>
    <r>
      <rPr>
        <sz val="18"/>
        <color theme="1"/>
        <rFont val="Calibri"/>
        <family val="2"/>
        <charset val="204"/>
        <scheme val="minor"/>
      </rPr>
      <t xml:space="preserve"> трамплин внезапно</t>
    </r>
  </si>
  <si>
    <r>
      <rPr>
        <b/>
        <sz val="28"/>
        <color theme="1"/>
        <rFont val="Calibri"/>
        <family val="2"/>
        <charset val="204"/>
        <scheme val="minor"/>
      </rPr>
      <t>!!</t>
    </r>
    <r>
      <rPr>
        <sz val="18"/>
        <color theme="1"/>
        <rFont val="Calibri"/>
        <family val="2"/>
        <charset val="204"/>
        <scheme val="minor"/>
      </rPr>
      <t xml:space="preserve"> закрытый, узко</t>
    </r>
  </si>
  <si>
    <t>Следующие позиции заменяют "рыбью кость" на стр. 4</t>
  </si>
  <si>
    <r>
      <rPr>
        <b/>
        <sz val="28"/>
        <color theme="1"/>
        <rFont val="Calibri"/>
        <family val="2"/>
        <charset val="204"/>
        <scheme val="minor"/>
      </rPr>
      <t>!!</t>
    </r>
    <r>
      <rPr>
        <sz val="18"/>
        <color theme="1"/>
        <rFont val="Calibri"/>
        <family val="2"/>
        <charset val="204"/>
        <scheme val="minor"/>
      </rPr>
      <t xml:space="preserve"> закрытый, затяжной</t>
    </r>
  </si>
  <si>
    <t xml:space="preserve"> </t>
  </si>
  <si>
    <t>В "рыбьей кости" изображены только асфальтовые дороги</t>
  </si>
  <si>
    <t>Класс PRO</t>
  </si>
  <si>
    <t>да</t>
  </si>
  <si>
    <t>ОЛе! ОЛе! ОЛе! ОЛе!!!!!</t>
  </si>
  <si>
    <t>Н618АА750</t>
  </si>
  <si>
    <t>8-910-781-29-83</t>
  </si>
  <si>
    <t>8-915-634-19-83</t>
  </si>
  <si>
    <t>Light/САТК</t>
  </si>
  <si>
    <t>Ford Focus 2</t>
  </si>
  <si>
    <t>Р988КС67</t>
  </si>
  <si>
    <t>А065ВВ67</t>
  </si>
  <si>
    <t>8-951-700-82-31</t>
  </si>
  <si>
    <t>8-951-696-46-34</t>
  </si>
  <si>
    <t>Морковный ФРЕШ</t>
  </si>
  <si>
    <t>с421еу67</t>
  </si>
  <si>
    <t>Дельфин</t>
  </si>
  <si>
    <t>Mercedes V class</t>
  </si>
  <si>
    <t>Р 956 СН</t>
  </si>
  <si>
    <t>Никулин Максим</t>
  </si>
  <si>
    <t>Москва</t>
  </si>
  <si>
    <t>Никулина Кристина</t>
  </si>
  <si>
    <t>#WDшка#</t>
  </si>
  <si>
    <t>kia sportage</t>
  </si>
  <si>
    <t>Е754НТ</t>
  </si>
  <si>
    <t>Шитиков Евгений</t>
  </si>
  <si>
    <t>Renault Megane</t>
  </si>
  <si>
    <t>К422МТ67</t>
  </si>
  <si>
    <t>Lucky</t>
  </si>
  <si>
    <t>BMW X6</t>
  </si>
  <si>
    <t>Х605рт77</t>
  </si>
  <si>
    <t>Большаков Евгений</t>
  </si>
  <si>
    <t>‭8 (916) 503-19-68‬</t>
  </si>
  <si>
    <t>Лесняк Дмитрий</t>
  </si>
  <si>
    <t>No Limits</t>
  </si>
  <si>
    <t>м566мм67</t>
  </si>
  <si>
    <t>Афанасьев Никита</t>
  </si>
  <si>
    <t>Иванов Кирилл</t>
  </si>
  <si>
    <t>В243КУ154</t>
  </si>
  <si>
    <t>Чёрная молния</t>
  </si>
  <si>
    <t>Тойота Авенсис</t>
  </si>
  <si>
    <t>В996МВ67</t>
  </si>
  <si>
    <t>кубарем</t>
  </si>
  <si>
    <t>skoda octavia</t>
  </si>
  <si>
    <t>858стк199</t>
  </si>
  <si>
    <t>Калюгин Артем Владимирович</t>
  </si>
  <si>
    <t>Гончарова Анастасия Игоревна</t>
  </si>
  <si>
    <t>Красный жеребец</t>
  </si>
  <si>
    <t>Ford Focus</t>
  </si>
  <si>
    <t>Х671КО67</t>
  </si>
  <si>
    <t>Слабков Максим</t>
  </si>
  <si>
    <t>Жуков Андрей</t>
  </si>
  <si>
    <t>Трактористы</t>
  </si>
  <si>
    <t>ВАЗ 2106</t>
  </si>
  <si>
    <t>У801ВУ67</t>
  </si>
  <si>
    <t>Безысходность</t>
  </si>
  <si>
    <t>ВАЗ-21099</t>
  </si>
  <si>
    <t>В707АМ67</t>
  </si>
  <si>
    <t>Моисеев Максим</t>
  </si>
  <si>
    <t>Ауди 80</t>
  </si>
  <si>
    <t>а000аа67</t>
  </si>
  <si>
    <t>SUZUKI JIMNI</t>
  </si>
  <si>
    <t>Т797НР177</t>
  </si>
  <si>
    <t>Ярцево</t>
  </si>
  <si>
    <t>Brazzers</t>
  </si>
  <si>
    <t>Ауди 100</t>
  </si>
  <si>
    <t>е797кх67</t>
  </si>
  <si>
    <t>Полдушов Владислав</t>
  </si>
  <si>
    <t>т928не67</t>
  </si>
  <si>
    <t>Daewoo Matiz</t>
  </si>
  <si>
    <t>А299РР150</t>
  </si>
  <si>
    <t>Honda Civic</t>
  </si>
  <si>
    <t>E588MP67</t>
  </si>
  <si>
    <t>Skoda Rapid</t>
  </si>
  <si>
    <t>А580АР67</t>
  </si>
  <si>
    <t>8-910-710-91-21</t>
  </si>
  <si>
    <t>деревня Гусино)</t>
  </si>
  <si>
    <t>8-910-119-83-13</t>
  </si>
  <si>
    <t>деревня Гусино</t>
  </si>
  <si>
    <t>Ford Fiesta</t>
  </si>
  <si>
    <t>в889кс67</t>
  </si>
  <si>
    <t>МосАвтоСлалом</t>
  </si>
  <si>
    <t>К578АХ750</t>
  </si>
  <si>
    <t>физики шутят</t>
  </si>
  <si>
    <t>рено логан</t>
  </si>
  <si>
    <t>Полянский Анатолий</t>
  </si>
  <si>
    <t>Винке Елена</t>
  </si>
  <si>
    <t>Сами мы не местные</t>
  </si>
  <si>
    <t>Toyota LC Prado</t>
  </si>
  <si>
    <t>О113УС777</t>
  </si>
  <si>
    <t>HistoricRacingClub</t>
  </si>
  <si>
    <t>VW Polo</t>
  </si>
  <si>
    <t>т622рр99</t>
  </si>
  <si>
    <t>Сорока Евгений</t>
  </si>
  <si>
    <t>Ларина Екатерина</t>
  </si>
  <si>
    <t>Audi Q7</t>
  </si>
  <si>
    <t>к123нр</t>
  </si>
  <si>
    <t>МосАлкоСлалом</t>
  </si>
  <si>
    <t>TOYOTA RAV-4</t>
  </si>
  <si>
    <t>С530ЕО 777</t>
  </si>
  <si>
    <t>Кананадзе Сергей</t>
  </si>
  <si>
    <t>Подшивалов Александр</t>
  </si>
  <si>
    <t>Люберцы, МО</t>
  </si>
  <si>
    <t>2K</t>
  </si>
  <si>
    <t>ВАЗ 2104</t>
  </si>
  <si>
    <t>Р827НН67</t>
  </si>
  <si>
    <t>Мальцев Кирилл</t>
  </si>
  <si>
    <t>Стартовая ведомость</t>
  </si>
  <si>
    <t>АрОл</t>
  </si>
  <si>
    <t>Hyundai Santa Fe</t>
  </si>
  <si>
    <t>Шкредов Артём Васильевич</t>
  </si>
  <si>
    <t>Шкредов Олег Васильевич</t>
  </si>
  <si>
    <t>10:00</t>
  </si>
  <si>
    <t>Лист 1 из 2</t>
  </si>
  <si>
    <t>Лист 2 из 2</t>
  </si>
  <si>
    <t>28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</si>
  <si>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</si>
  <si>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</si>
  <si>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</si>
  <si>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</si>
  <si>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</si>
  <si>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</si>
  <si>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</si>
  <si>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</si>
  <si>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</si>
  <si>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</si>
  <si>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</si>
  <si>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</si>
  <si>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</si>
  <si>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29</t>
  </si>
  <si>
    <t>30</t>
  </si>
  <si>
    <t>31</t>
  </si>
  <si>
    <t>с495на67</t>
  </si>
  <si>
    <t>8-915-657-3067</t>
  </si>
  <si>
    <t>8-952-536-76-28</t>
  </si>
  <si>
    <t>МосАлкоСпринт</t>
  </si>
  <si>
    <t>Стараерс</t>
  </si>
  <si>
    <t>Chevrolet Cruze</t>
  </si>
  <si>
    <t xml:space="preserve">Александров Михаил </t>
  </si>
  <si>
    <t>Штанер Евгений</t>
  </si>
  <si>
    <t>САПСАЗПНРБЛ</t>
  </si>
  <si>
    <t>Субаристар</t>
  </si>
  <si>
    <t>Б-САПСАБЗПНРБЛ-ДДГВ</t>
  </si>
  <si>
    <t>СПАБЗЛ-В</t>
  </si>
  <si>
    <t>САБЗ-ДГ</t>
  </si>
  <si>
    <t>АЗЛ-ДДВ</t>
  </si>
  <si>
    <t>СА-ДДВ</t>
  </si>
  <si>
    <t>САП-ДГВ</t>
  </si>
  <si>
    <t>САПСАПКПЗПЗ-ДДВ</t>
  </si>
  <si>
    <t>СА-ДДГВ</t>
  </si>
  <si>
    <t>САЛ-В</t>
  </si>
  <si>
    <t>САБЛ-ДГВ</t>
  </si>
  <si>
    <t>САПСА-ДДВ</t>
  </si>
  <si>
    <t>ЗБ-В</t>
  </si>
  <si>
    <t>САП-ГВБ</t>
  </si>
  <si>
    <t>АПРНК-ДГ</t>
  </si>
  <si>
    <t>СА-ГД</t>
  </si>
  <si>
    <t>САПСАПКПЗЗЛ-ДВ</t>
  </si>
  <si>
    <t>АТРНК-ДГВ</t>
  </si>
  <si>
    <t>АПАЗЛ-ДДВ</t>
  </si>
  <si>
    <t>Б-ДДВ</t>
  </si>
  <si>
    <t>САПСАПЛ-ДДВ</t>
  </si>
  <si>
    <t>БСАПСАБЗЛ-В</t>
  </si>
  <si>
    <t>САПСАЛ-ДДВ</t>
  </si>
  <si>
    <t>САПСАБЗЛ-ДГВ</t>
  </si>
  <si>
    <t>САПСАБЗПНРБЛ-ДДГВ</t>
  </si>
  <si>
    <t>САПСАБЗЛ-ДДВ</t>
  </si>
  <si>
    <t>САЗЛ-ДДВ</t>
  </si>
  <si>
    <t>САПКЛ-ДГВ</t>
  </si>
  <si>
    <t>АЛДГ-ДГВ</t>
  </si>
  <si>
    <t>САПСАБЗЛ-ДВ</t>
  </si>
  <si>
    <t>САПСА-ДГВ</t>
  </si>
  <si>
    <t>САПСА-ДДГВ</t>
  </si>
  <si>
    <t>АПР-ДГ</t>
  </si>
  <si>
    <t>САПСАБ-ГВ</t>
  </si>
  <si>
    <t>САБЗ-ДДГВ</t>
  </si>
  <si>
    <t>САПСПКПЗЗЛ-ДВ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</si>
</sst>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"/>
    <numFmt numFmtId="165" formatCode="h:mm;@"/>
    <numFmt numFmtId="166" formatCode="0.0"/>
  </numFmts>
  <fonts count="49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6"/>
      <color indexed="8"/>
      <name val="Calibri"/>
      <family val="2"/>
      <charset val="204"/>
    </font>
    <font>
      <sz val="18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10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</font>
    <font>
      <b/>
      <sz val="14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48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4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6"/>
      <color theme="0"/>
      <name val="Calibri"/>
      <family val="2"/>
      <charset val="204"/>
    </font>
    <font>
      <b/>
      <sz val="22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</font>
    <font>
      <b/>
      <sz val="40"/>
      <color theme="1"/>
      <name val="Calibri"/>
      <family val="2"/>
      <charset val="204"/>
      <scheme val="minor"/>
    </font>
    <font>
      <strike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1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 diagonalDown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 style="hair">
        <color indexed="64"/>
      </bottom>
      <diagonal style="thin">
        <color indexed="64"/>
      </diagonal>
    </border>
    <border diagonalUp="1" diagonalDown="1">
      <left/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hair">
        <color indexed="64"/>
      </top>
      <bottom style="hair">
        <color indexed="64"/>
      </bottom>
      <diagonal style="thin">
        <color indexed="64"/>
      </diagonal>
    </border>
    <border diagonalUp="1" diagonalDown="1">
      <left/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hair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 style="thin">
        <color indexed="64"/>
      </right>
      <top style="hair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/>
      <top/>
      <bottom style="hair">
        <color indexed="64"/>
      </bottom>
      <diagonal/>
    </border>
    <border diagonalUp="1" diagonalDown="1"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 diagonalUp="1"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Up="1"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 diagonalUp="1"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thin">
        <color indexed="64"/>
      </diagonal>
    </border>
    <border diagonalUp="1" diagonalDown="1"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 diagonalUp="1" diagonalDown="1"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Up="1"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</borders>
  <cellStyleXfs count="1">
    <xf numFmtId="0" fontId="0" fillId="0" borderId="0"/>
  </cellStyleXfs>
  <cellXfs count="720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5" xfId="0" applyFont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textRotation="180"/>
    </xf>
    <xf numFmtId="0" fontId="0" fillId="0" borderId="0" xfId="0" applyAlignment="1">
      <alignment vertical="center"/>
    </xf>
    <xf numFmtId="0" fontId="6" fillId="2" borderId="1" xfId="0" applyFont="1" applyFill="1" applyBorder="1" applyAlignment="1">
      <alignment horizontal="left" vertical="top"/>
    </xf>
    <xf numFmtId="0" fontId="0" fillId="0" borderId="0" xfId="0" applyFont="1" applyAlignment="1">
      <alignment horizontal="right" vertical="center"/>
    </xf>
    <xf numFmtId="0" fontId="5" fillId="8" borderId="1" xfId="0" applyNumberFormat="1" applyFont="1" applyFill="1" applyBorder="1" applyAlignment="1">
      <alignment vertical="center"/>
    </xf>
    <xf numFmtId="0" fontId="10" fillId="8" borderId="1" xfId="0" applyNumberFormat="1" applyFont="1" applyFill="1" applyBorder="1" applyAlignment="1">
      <alignment horizontal="right" vertical="center"/>
    </xf>
    <xf numFmtId="2" fontId="5" fillId="8" borderId="1" xfId="0" applyNumberFormat="1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vertical="center"/>
    </xf>
    <xf numFmtId="0" fontId="16" fillId="0" borderId="41" xfId="0" applyNumberFormat="1" applyFont="1" applyFill="1" applyBorder="1" applyAlignment="1">
      <alignment horizontal="center" vertical="center"/>
    </xf>
    <xf numFmtId="0" fontId="17" fillId="0" borderId="41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7" fillId="0" borderId="51" xfId="0" applyNumberFormat="1" applyFont="1" applyFill="1" applyBorder="1" applyAlignment="1">
      <alignment horizontal="center" vertical="center"/>
    </xf>
    <xf numFmtId="0" fontId="17" fillId="0" borderId="52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9" fillId="0" borderId="42" xfId="0" applyNumberFormat="1" applyFont="1" applyFill="1" applyBorder="1" applyAlignment="1">
      <alignment horizontal="center" vertical="center" wrapText="1"/>
    </xf>
    <xf numFmtId="0" fontId="16" fillId="0" borderId="52" xfId="0" applyNumberFormat="1" applyFont="1" applyFill="1" applyBorder="1" applyAlignment="1">
      <alignment horizontal="center" vertical="center"/>
    </xf>
    <xf numFmtId="49" fontId="16" fillId="0" borderId="59" xfId="0" applyNumberFormat="1" applyFont="1" applyFill="1" applyBorder="1" applyAlignment="1">
      <alignment horizontal="center" vertical="center"/>
    </xf>
    <xf numFmtId="49" fontId="16" fillId="0" borderId="61" xfId="0" applyNumberFormat="1" applyFont="1" applyFill="1" applyBorder="1" applyAlignment="1">
      <alignment horizontal="center" vertical="center"/>
    </xf>
    <xf numFmtId="0" fontId="16" fillId="0" borderId="62" xfId="0" applyNumberFormat="1" applyFont="1" applyFill="1" applyBorder="1" applyAlignment="1">
      <alignment horizontal="center" vertical="center"/>
    </xf>
    <xf numFmtId="49" fontId="16" fillId="0" borderId="64" xfId="0" applyNumberFormat="1" applyFont="1" applyFill="1" applyBorder="1" applyAlignment="1">
      <alignment horizontal="center" vertical="center"/>
    </xf>
    <xf numFmtId="0" fontId="18" fillId="0" borderId="65" xfId="0" applyFont="1" applyBorder="1" applyAlignment="1">
      <alignment horizontal="center" vertical="center"/>
    </xf>
    <xf numFmtId="0" fontId="16" fillId="0" borderId="51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2" fontId="2" fillId="0" borderId="32" xfId="0" applyNumberFormat="1" applyFont="1" applyBorder="1" applyAlignment="1">
      <alignment horizontal="center" vertical="center"/>
    </xf>
    <xf numFmtId="165" fontId="2" fillId="0" borderId="31" xfId="0" applyNumberFormat="1" applyFont="1" applyBorder="1" applyAlignment="1">
      <alignment horizontal="center" vertical="center"/>
    </xf>
    <xf numFmtId="20" fontId="2" fillId="0" borderId="31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Border="1" applyAlignment="1">
      <alignment vertical="center"/>
    </xf>
    <xf numFmtId="0" fontId="0" fillId="0" borderId="0" xfId="0" applyNumberFormat="1" applyFill="1" applyAlignment="1">
      <alignment vertical="center"/>
    </xf>
    <xf numFmtId="0" fontId="20" fillId="0" borderId="0" xfId="0" applyNumberFormat="1" applyFont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19" xfId="0" applyFont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3" xfId="0" applyFont="1" applyFill="1" applyBorder="1" applyAlignment="1">
      <alignment vertical="center"/>
    </xf>
    <xf numFmtId="0" fontId="25" fillId="0" borderId="3" xfId="0" applyFont="1" applyBorder="1" applyAlignment="1">
      <alignment horizontal="right" vertical="center"/>
    </xf>
    <xf numFmtId="1" fontId="24" fillId="0" borderId="4" xfId="0" applyNumberFormat="1" applyFont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25" fillId="0" borderId="0" xfId="0" applyFont="1" applyBorder="1" applyAlignment="1">
      <alignment horizontal="right" vertical="center"/>
    </xf>
    <xf numFmtId="1" fontId="24" fillId="0" borderId="6" xfId="0" applyNumberFormat="1" applyFont="1" applyBorder="1" applyAlignment="1">
      <alignment vertical="center"/>
    </xf>
    <xf numFmtId="0" fontId="24" fillId="0" borderId="8" xfId="0" applyFont="1" applyFill="1" applyBorder="1" applyAlignment="1">
      <alignment vertical="center"/>
    </xf>
    <xf numFmtId="0" fontId="25" fillId="0" borderId="8" xfId="0" applyFont="1" applyBorder="1" applyAlignment="1">
      <alignment horizontal="right" vertical="center"/>
    </xf>
    <xf numFmtId="1" fontId="24" fillId="0" borderId="9" xfId="0" applyNumberFormat="1" applyFont="1" applyBorder="1" applyAlignment="1">
      <alignment vertical="center"/>
    </xf>
    <xf numFmtId="0" fontId="13" fillId="7" borderId="0" xfId="0" applyNumberFormat="1" applyFont="1" applyFill="1" applyBorder="1" applyAlignment="1">
      <alignment vertical="center"/>
    </xf>
    <xf numFmtId="0" fontId="27" fillId="0" borderId="0" xfId="0" applyNumberFormat="1" applyFont="1" applyFill="1" applyBorder="1" applyAlignment="1">
      <alignment vertical="center"/>
    </xf>
    <xf numFmtId="0" fontId="27" fillId="0" borderId="0" xfId="0" applyNumberFormat="1" applyFont="1" applyFill="1" applyAlignment="1">
      <alignment vertical="center"/>
    </xf>
    <xf numFmtId="0" fontId="29" fillId="0" borderId="0" xfId="0" applyNumberFormat="1" applyFont="1" applyFill="1" applyAlignment="1">
      <alignment vertical="center"/>
    </xf>
    <xf numFmtId="0" fontId="28" fillId="0" borderId="0" xfId="0" applyNumberFormat="1" applyFont="1" applyFill="1" applyAlignment="1">
      <alignment vertical="center"/>
    </xf>
    <xf numFmtId="0" fontId="29" fillId="0" borderId="33" xfId="0" applyNumberFormat="1" applyFont="1" applyFill="1" applyBorder="1" applyAlignment="1">
      <alignment vertical="center"/>
    </xf>
    <xf numFmtId="0" fontId="0" fillId="0" borderId="0" xfId="0" applyBorder="1"/>
    <xf numFmtId="0" fontId="15" fillId="0" borderId="0" xfId="0" applyFont="1" applyFill="1" applyBorder="1" applyAlignment="1">
      <alignment vertical="center"/>
    </xf>
    <xf numFmtId="0" fontId="6" fillId="2" borderId="16" xfId="0" applyFont="1" applyFill="1" applyBorder="1" applyAlignment="1">
      <alignment horizontal="left" vertical="top"/>
    </xf>
    <xf numFmtId="0" fontId="6" fillId="2" borderId="18" xfId="0" applyFont="1" applyFill="1" applyBorder="1" applyAlignment="1">
      <alignment horizontal="left" vertical="top"/>
    </xf>
    <xf numFmtId="0" fontId="21" fillId="0" borderId="0" xfId="0" applyFont="1" applyBorder="1" applyAlignment="1">
      <alignment vertical="center"/>
    </xf>
    <xf numFmtId="2" fontId="2" fillId="0" borderId="30" xfId="0" applyNumberFormat="1" applyFont="1" applyBorder="1" applyAlignment="1">
      <alignment horizontal="center" vertical="center"/>
    </xf>
    <xf numFmtId="0" fontId="2" fillId="0" borderId="32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2" borderId="11" xfId="0" applyFont="1" applyFill="1" applyBorder="1" applyAlignment="1">
      <alignment vertical="center"/>
    </xf>
    <xf numFmtId="0" fontId="20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/>
    </xf>
    <xf numFmtId="2" fontId="0" fillId="0" borderId="0" xfId="0" applyNumberFormat="1"/>
    <xf numFmtId="0" fontId="32" fillId="0" borderId="32" xfId="0" applyNumberFormat="1" applyFont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32" xfId="0" applyBorder="1" applyAlignment="1">
      <alignment horizontal="center" vertical="center"/>
    </xf>
    <xf numFmtId="0" fontId="0" fillId="0" borderId="32" xfId="0" applyBorder="1" applyAlignment="1">
      <alignment vertical="center"/>
    </xf>
    <xf numFmtId="0" fontId="0" fillId="0" borderId="32" xfId="0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0" fillId="0" borderId="71" xfId="0" applyBorder="1" applyAlignment="1">
      <alignment horizontal="left" vertical="center"/>
    </xf>
    <xf numFmtId="0" fontId="15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vertical="center"/>
    </xf>
    <xf numFmtId="21" fontId="0" fillId="4" borderId="32" xfId="0" applyNumberFormat="1" applyFill="1" applyBorder="1" applyAlignment="1">
      <alignment horizontal="center"/>
    </xf>
    <xf numFmtId="0" fontId="2" fillId="0" borderId="16" xfId="0" applyFont="1" applyBorder="1" applyAlignment="1"/>
    <xf numFmtId="0" fontId="2" fillId="0" borderId="18" xfId="0" applyFont="1" applyBorder="1" applyAlignment="1"/>
    <xf numFmtId="49" fontId="9" fillId="0" borderId="65" xfId="0" applyNumberFormat="1" applyFont="1" applyFill="1" applyBorder="1" applyAlignment="1">
      <alignment vertical="center"/>
    </xf>
    <xf numFmtId="49" fontId="9" fillId="0" borderId="57" xfId="0" applyNumberFormat="1" applyFont="1" applyFill="1" applyBorder="1" applyAlignment="1">
      <alignment vertical="center"/>
    </xf>
    <xf numFmtId="49" fontId="9" fillId="0" borderId="53" xfId="0" applyNumberFormat="1" applyFont="1" applyFill="1" applyBorder="1" applyAlignment="1">
      <alignment vertical="center"/>
    </xf>
    <xf numFmtId="49" fontId="9" fillId="0" borderId="72" xfId="0" applyNumberFormat="1" applyFont="1" applyFill="1" applyBorder="1" applyAlignment="1">
      <alignment vertical="center"/>
    </xf>
    <xf numFmtId="20" fontId="4" fillId="0" borderId="80" xfId="0" applyNumberFormat="1" applyFont="1" applyBorder="1" applyAlignment="1">
      <alignment horizontal="center" vertical="center"/>
    </xf>
    <xf numFmtId="20" fontId="4" fillId="0" borderId="69" xfId="0" applyNumberFormat="1" applyFont="1" applyBorder="1" applyAlignment="1">
      <alignment horizontal="center" vertical="center"/>
    </xf>
    <xf numFmtId="49" fontId="16" fillId="0" borderId="79" xfId="0" applyNumberFormat="1" applyFont="1" applyFill="1" applyBorder="1" applyAlignment="1">
      <alignment horizontal="center" vertical="center"/>
    </xf>
    <xf numFmtId="49" fontId="16" fillId="0" borderId="68" xfId="0" applyNumberFormat="1" applyFont="1" applyFill="1" applyBorder="1" applyAlignment="1">
      <alignment horizontal="center" vertical="center"/>
    </xf>
    <xf numFmtId="49" fontId="16" fillId="0" borderId="78" xfId="0" applyNumberFormat="1" applyFont="1" applyFill="1" applyBorder="1" applyAlignment="1">
      <alignment vertical="center"/>
    </xf>
    <xf numFmtId="49" fontId="16" fillId="0" borderId="0" xfId="0" applyNumberFormat="1" applyFont="1" applyFill="1" applyBorder="1" applyAlignment="1">
      <alignment vertical="center"/>
    </xf>
    <xf numFmtId="0" fontId="6" fillId="2" borderId="21" xfId="0" applyFont="1" applyFill="1" applyBorder="1" applyAlignment="1"/>
    <xf numFmtId="0" fontId="0" fillId="0" borderId="0" xfId="0" applyFill="1"/>
    <xf numFmtId="20" fontId="0" fillId="6" borderId="0" xfId="0" applyNumberFormat="1" applyFill="1"/>
    <xf numFmtId="49" fontId="0" fillId="6" borderId="0" xfId="0" applyNumberFormat="1" applyFill="1"/>
    <xf numFmtId="0" fontId="0" fillId="6" borderId="0" xfId="0" applyFill="1"/>
    <xf numFmtId="0" fontId="24" fillId="4" borderId="0" xfId="0" applyFont="1" applyFill="1" applyBorder="1" applyAlignment="1">
      <alignment vertical="center"/>
    </xf>
    <xf numFmtId="0" fontId="31" fillId="7" borderId="32" xfId="0" applyFont="1" applyFill="1" applyBorder="1" applyAlignment="1">
      <alignment horizontal="center"/>
    </xf>
    <xf numFmtId="0" fontId="31" fillId="7" borderId="32" xfId="0" applyFont="1" applyFill="1" applyBorder="1"/>
    <xf numFmtId="0" fontId="31" fillId="7" borderId="70" xfId="0" applyFont="1" applyFill="1" applyBorder="1" applyAlignment="1">
      <alignment horizontal="center"/>
    </xf>
    <xf numFmtId="0" fontId="0" fillId="0" borderId="30" xfId="0" applyFill="1" applyBorder="1" applyAlignment="1">
      <alignment horizontal="center" vertical="center"/>
    </xf>
    <xf numFmtId="0" fontId="0" fillId="6" borderId="32" xfId="0" applyFill="1" applyBorder="1" applyAlignment="1">
      <alignment horizontal="center"/>
    </xf>
    <xf numFmtId="20" fontId="0" fillId="0" borderId="30" xfId="0" applyNumberFormat="1" applyFill="1" applyBorder="1" applyAlignment="1">
      <alignment horizontal="center"/>
    </xf>
    <xf numFmtId="0" fontId="0" fillId="4" borderId="32" xfId="0" applyNumberFormat="1" applyFill="1" applyBorder="1" applyAlignment="1">
      <alignment horizontal="center" vertical="center"/>
    </xf>
    <xf numFmtId="20" fontId="0" fillId="4" borderId="32" xfId="0" applyNumberFormat="1" applyFill="1" applyBorder="1" applyAlignment="1">
      <alignment horizontal="center" vertical="center"/>
    </xf>
    <xf numFmtId="20" fontId="0" fillId="0" borderId="32" xfId="0" applyNumberFormat="1" applyBorder="1" applyAlignment="1">
      <alignment horizontal="center"/>
    </xf>
    <xf numFmtId="0" fontId="0" fillId="6" borderId="32" xfId="0" applyNumberFormat="1" applyFill="1" applyBorder="1" applyAlignment="1">
      <alignment horizontal="center" vertical="center"/>
    </xf>
    <xf numFmtId="0" fontId="0" fillId="4" borderId="32" xfId="0" applyNumberFormat="1" applyFill="1" applyBorder="1" applyAlignment="1">
      <alignment horizontal="center"/>
    </xf>
    <xf numFmtId="0" fontId="0" fillId="4" borderId="32" xfId="0" applyFill="1" applyBorder="1" applyAlignment="1">
      <alignment horizontal="center" vertical="center"/>
    </xf>
    <xf numFmtId="0" fontId="0" fillId="0" borderId="32" xfId="0" applyBorder="1" applyAlignment="1">
      <alignment horizontal="center"/>
    </xf>
    <xf numFmtId="21" fontId="0" fillId="0" borderId="32" xfId="0" applyNumberFormat="1" applyBorder="1" applyAlignment="1">
      <alignment horizontal="center"/>
    </xf>
    <xf numFmtId="0" fontId="0" fillId="4" borderId="30" xfId="0" applyNumberFormat="1" applyFill="1" applyBorder="1" applyAlignment="1">
      <alignment horizontal="center" vertical="center"/>
    </xf>
    <xf numFmtId="20" fontId="0" fillId="0" borderId="32" xfId="0" applyNumberFormat="1" applyFill="1" applyBorder="1" applyAlignment="1">
      <alignment horizontal="center" vertical="center"/>
    </xf>
    <xf numFmtId="0" fontId="0" fillId="0" borderId="31" xfId="0" applyBorder="1"/>
    <xf numFmtId="0" fontId="0" fillId="0" borderId="0" xfId="0" applyAlignment="1">
      <alignment horizontal="center" vertical="center" wrapText="1"/>
    </xf>
    <xf numFmtId="2" fontId="0" fillId="4" borderId="32" xfId="0" applyNumberFormat="1" applyFill="1" applyBorder="1" applyAlignment="1">
      <alignment horizontal="center" vertical="center"/>
    </xf>
    <xf numFmtId="1" fontId="0" fillId="4" borderId="32" xfId="0" applyNumberFormat="1" applyFill="1" applyBorder="1" applyAlignment="1">
      <alignment horizontal="center" vertical="center"/>
    </xf>
    <xf numFmtId="20" fontId="0" fillId="6" borderId="32" xfId="0" applyNumberFormat="1" applyFill="1" applyBorder="1" applyAlignment="1">
      <alignment horizontal="center" vertical="center"/>
    </xf>
    <xf numFmtId="0" fontId="0" fillId="0" borderId="32" xfId="0" applyNumberFormat="1" applyFill="1" applyBorder="1" applyAlignment="1">
      <alignment horizontal="center" vertical="center"/>
    </xf>
    <xf numFmtId="0" fontId="13" fillId="7" borderId="0" xfId="0" applyFont="1" applyFill="1" applyBorder="1" applyAlignment="1">
      <alignment vertical="center"/>
    </xf>
    <xf numFmtId="1" fontId="13" fillId="7" borderId="0" xfId="0" applyNumberFormat="1" applyFont="1" applyFill="1" applyBorder="1" applyAlignment="1">
      <alignment vertical="center"/>
    </xf>
    <xf numFmtId="49" fontId="9" fillId="0" borderId="57" xfId="0" applyNumberFormat="1" applyFont="1" applyFill="1" applyBorder="1" applyAlignment="1">
      <alignment horizontal="center" vertical="center"/>
    </xf>
    <xf numFmtId="166" fontId="0" fillId="4" borderId="32" xfId="0" applyNumberFormat="1" applyFill="1" applyBorder="1" applyAlignment="1">
      <alignment horizontal="center" vertical="center"/>
    </xf>
    <xf numFmtId="49" fontId="17" fillId="0" borderId="29" xfId="0" applyNumberFormat="1" applyFont="1" applyFill="1" applyBorder="1" applyAlignment="1">
      <alignment horizontal="center" vertical="center"/>
    </xf>
    <xf numFmtId="49" fontId="17" fillId="0" borderId="37" xfId="0" applyNumberFormat="1" applyFont="1" applyFill="1" applyBorder="1" applyAlignment="1">
      <alignment horizontal="center" vertical="center"/>
    </xf>
    <xf numFmtId="0" fontId="5" fillId="7" borderId="86" xfId="0" applyFont="1" applyFill="1" applyBorder="1" applyAlignment="1">
      <alignment horizontal="center" vertical="center" wrapText="1"/>
    </xf>
    <xf numFmtId="0" fontId="5" fillId="7" borderId="87" xfId="0" applyFont="1" applyFill="1" applyBorder="1" applyAlignment="1">
      <alignment horizontal="center" vertical="center" wrapText="1"/>
    </xf>
    <xf numFmtId="0" fontId="5" fillId="7" borderId="88" xfId="0" applyFont="1" applyFill="1" applyBorder="1" applyAlignment="1">
      <alignment horizontal="center" vertical="center" wrapText="1"/>
    </xf>
    <xf numFmtId="49" fontId="17" fillId="0" borderId="24" xfId="0" applyNumberFormat="1" applyFont="1" applyFill="1" applyBorder="1" applyAlignment="1">
      <alignment horizontal="center" vertical="center"/>
    </xf>
    <xf numFmtId="49" fontId="16" fillId="0" borderId="24" xfId="0" applyNumberFormat="1" applyFont="1" applyFill="1" applyBorder="1" applyAlignment="1">
      <alignment horizontal="center" vertical="center"/>
    </xf>
    <xf numFmtId="49" fontId="16" fillId="0" borderId="29" xfId="0" applyNumberFormat="1" applyFont="1" applyFill="1" applyBorder="1" applyAlignment="1">
      <alignment horizontal="center" vertical="center"/>
    </xf>
    <xf numFmtId="49" fontId="16" fillId="0" borderId="37" xfId="0" applyNumberFormat="1" applyFont="1" applyFill="1" applyBorder="1" applyAlignment="1">
      <alignment horizontal="center" vertical="center"/>
    </xf>
    <xf numFmtId="49" fontId="16" fillId="0" borderId="67" xfId="0" applyNumberFormat="1" applyFont="1" applyFill="1" applyBorder="1" applyAlignment="1">
      <alignment horizontal="center" vertical="center"/>
    </xf>
    <xf numFmtId="49" fontId="16" fillId="0" borderId="58" xfId="0" applyNumberFormat="1" applyFont="1" applyFill="1" applyBorder="1" applyAlignment="1">
      <alignment horizontal="center" vertical="center"/>
    </xf>
    <xf numFmtId="49" fontId="16" fillId="0" borderId="60" xfId="0" applyNumberFormat="1" applyFont="1" applyFill="1" applyBorder="1" applyAlignment="1">
      <alignment horizontal="center" vertical="center"/>
    </xf>
    <xf numFmtId="49" fontId="16" fillId="0" borderId="76" xfId="0" applyNumberFormat="1" applyFont="1" applyFill="1" applyBorder="1" applyAlignment="1">
      <alignment vertical="center"/>
    </xf>
    <xf numFmtId="49" fontId="16" fillId="0" borderId="77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49" fontId="35" fillId="0" borderId="0" xfId="0" applyNumberFormat="1" applyFont="1" applyFill="1" applyAlignment="1">
      <alignment vertical="center"/>
    </xf>
    <xf numFmtId="0" fontId="35" fillId="0" borderId="0" xfId="0" applyFont="1" applyFill="1" applyAlignment="1">
      <alignment vertical="center"/>
    </xf>
    <xf numFmtId="2" fontId="27" fillId="0" borderId="1" xfId="0" applyNumberFormat="1" applyFont="1" applyBorder="1" applyAlignment="1">
      <alignment horizontal="center" vertical="center"/>
    </xf>
    <xf numFmtId="2" fontId="27" fillId="0" borderId="1" xfId="0" applyNumberFormat="1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right" vertical="center"/>
    </xf>
    <xf numFmtId="2" fontId="5" fillId="7" borderId="1" xfId="0" applyNumberFormat="1" applyFont="1" applyFill="1" applyBorder="1" applyAlignment="1">
      <alignment vertical="center"/>
    </xf>
    <xf numFmtId="0" fontId="5" fillId="7" borderId="1" xfId="0" applyNumberFormat="1" applyFont="1" applyFill="1" applyBorder="1" applyAlignment="1">
      <alignment horizontal="center" vertical="center"/>
    </xf>
    <xf numFmtId="2" fontId="5" fillId="7" borderId="1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6" fillId="0" borderId="0" xfId="0" applyFont="1" applyBorder="1" applyAlignment="1"/>
    <xf numFmtId="0" fontId="6" fillId="2" borderId="14" xfId="0" applyFont="1" applyFill="1" applyBorder="1" applyAlignment="1"/>
    <xf numFmtId="0" fontId="20" fillId="0" borderId="22" xfId="0" applyFont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2" fontId="27" fillId="0" borderId="97" xfId="0" applyNumberFormat="1" applyFont="1" applyFill="1" applyBorder="1" applyAlignment="1">
      <alignment horizontal="center" vertical="center"/>
    </xf>
    <xf numFmtId="2" fontId="0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2" fontId="0" fillId="0" borderId="8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2" fontId="2" fillId="0" borderId="30" xfId="0" applyNumberFormat="1" applyFont="1" applyFill="1" applyBorder="1" applyAlignment="1">
      <alignment horizontal="center" vertical="center"/>
    </xf>
    <xf numFmtId="0" fontId="0" fillId="4" borderId="98" xfId="0" applyNumberFormat="1" applyFill="1" applyBorder="1" applyAlignment="1">
      <alignment horizontal="center" vertical="center"/>
    </xf>
    <xf numFmtId="1" fontId="0" fillId="4" borderId="98" xfId="0" applyNumberForma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2" fontId="31" fillId="0" borderId="1" xfId="0" applyNumberFormat="1" applyFont="1" applyFill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4" xfId="0" applyNumberFormat="1" applyFont="1" applyFill="1" applyBorder="1" applyAlignment="1">
      <alignment horizontal="center" vertical="center"/>
    </xf>
    <xf numFmtId="2" fontId="0" fillId="0" borderId="6" xfId="0" applyNumberFormat="1" applyFont="1" applyFill="1" applyBorder="1" applyAlignment="1">
      <alignment horizontal="center" vertical="center"/>
    </xf>
    <xf numFmtId="2" fontId="0" fillId="0" borderId="9" xfId="0" applyNumberFormat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center" vertical="center"/>
    </xf>
    <xf numFmtId="2" fontId="0" fillId="0" borderId="96" xfId="0" applyNumberFormat="1" applyFont="1" applyBorder="1" applyAlignment="1">
      <alignment horizontal="center" vertical="center"/>
    </xf>
    <xf numFmtId="0" fontId="0" fillId="0" borderId="96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2" fontId="0" fillId="0" borderId="96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6" fillId="0" borderId="0" xfId="0" applyFont="1"/>
    <xf numFmtId="0" fontId="0" fillId="0" borderId="1" xfId="0" applyBorder="1"/>
    <xf numFmtId="0" fontId="0" fillId="0" borderId="1" xfId="0" applyFont="1" applyFill="1" applyBorder="1" applyAlignment="1">
      <alignment horizontal="center" vertical="center"/>
    </xf>
    <xf numFmtId="49" fontId="16" fillId="0" borderId="24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6" fillId="0" borderId="24" xfId="0" applyNumberFormat="1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vertical="center"/>
    </xf>
    <xf numFmtId="0" fontId="13" fillId="7" borderId="0" xfId="0" applyFont="1" applyFill="1" applyBorder="1" applyAlignment="1">
      <alignment horizontal="center" vertical="center"/>
    </xf>
    <xf numFmtId="0" fontId="27" fillId="0" borderId="71" xfId="0" applyFont="1" applyFill="1" applyBorder="1" applyAlignment="1">
      <alignment vertical="center"/>
    </xf>
    <xf numFmtId="0" fontId="27" fillId="0" borderId="32" xfId="0" applyFont="1" applyFill="1" applyBorder="1" applyAlignment="1">
      <alignment vertical="center"/>
    </xf>
    <xf numFmtId="0" fontId="27" fillId="0" borderId="71" xfId="0" applyFont="1" applyFill="1" applyBorder="1" applyAlignment="1">
      <alignment horizontal="center" vertical="center"/>
    </xf>
    <xf numFmtId="0" fontId="27" fillId="0" borderId="3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2" fontId="32" fillId="0" borderId="30" xfId="0" applyNumberFormat="1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32" xfId="0" applyNumberFormat="1" applyFont="1" applyFill="1" applyBorder="1" applyAlignment="1">
      <alignment horizontal="center" vertical="center"/>
    </xf>
    <xf numFmtId="0" fontId="32" fillId="0" borderId="32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/>
    <xf numFmtId="0" fontId="24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5" fillId="7" borderId="87" xfId="0" applyFont="1" applyFill="1" applyBorder="1" applyAlignment="1">
      <alignment horizontal="center" vertical="center" textRotation="180" wrapText="1"/>
    </xf>
    <xf numFmtId="0" fontId="5" fillId="7" borderId="88" xfId="0" applyFont="1" applyFill="1" applyBorder="1" applyAlignment="1">
      <alignment horizontal="center" vertical="center" textRotation="180" wrapText="1"/>
    </xf>
    <xf numFmtId="2" fontId="2" fillId="0" borderId="106" xfId="0" applyNumberFormat="1" applyFont="1" applyBorder="1" applyAlignment="1">
      <alignment horizontal="center" vertical="center"/>
    </xf>
    <xf numFmtId="0" fontId="2" fillId="0" borderId="71" xfId="0" applyNumberFormat="1" applyFont="1" applyBorder="1" applyAlignment="1">
      <alignment horizontal="center" vertical="center"/>
    </xf>
    <xf numFmtId="2" fontId="2" fillId="0" borderId="71" xfId="0" applyNumberFormat="1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2" fontId="32" fillId="0" borderId="110" xfId="0" applyNumberFormat="1" applyFont="1" applyBorder="1" applyAlignment="1">
      <alignment horizontal="center" vertical="center"/>
    </xf>
    <xf numFmtId="0" fontId="2" fillId="0" borderId="111" xfId="0" applyNumberFormat="1" applyFont="1" applyBorder="1" applyAlignment="1">
      <alignment horizontal="center" vertical="center"/>
    </xf>
    <xf numFmtId="2" fontId="2" fillId="0" borderId="111" xfId="0" applyNumberFormat="1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2" fontId="2" fillId="0" borderId="110" xfId="0" applyNumberFormat="1" applyFont="1" applyBorder="1" applyAlignment="1">
      <alignment horizontal="center" vertical="center"/>
    </xf>
    <xf numFmtId="0" fontId="12" fillId="7" borderId="87" xfId="0" applyNumberFormat="1" applyFont="1" applyFill="1" applyBorder="1" applyAlignment="1">
      <alignment horizontal="center" vertical="center"/>
    </xf>
    <xf numFmtId="2" fontId="12" fillId="7" borderId="87" xfId="0" applyNumberFormat="1" applyFont="1" applyFill="1" applyBorder="1" applyAlignment="1">
      <alignment horizontal="center" vertical="center"/>
    </xf>
    <xf numFmtId="2" fontId="12" fillId="7" borderId="88" xfId="0" applyNumberFormat="1" applyFont="1" applyFill="1" applyBorder="1" applyAlignment="1">
      <alignment horizontal="center" vertical="center"/>
    </xf>
    <xf numFmtId="0" fontId="12" fillId="7" borderId="87" xfId="0" applyFont="1" applyFill="1" applyBorder="1" applyAlignment="1">
      <alignment horizontal="center" vertical="center"/>
    </xf>
    <xf numFmtId="0" fontId="0" fillId="0" borderId="114" xfId="0" applyBorder="1" applyAlignment="1">
      <alignment horizontal="center" vertical="center"/>
    </xf>
    <xf numFmtId="0" fontId="0" fillId="4" borderId="98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5" xfId="0" applyBorder="1" applyAlignment="1">
      <alignment horizontal="center"/>
    </xf>
    <xf numFmtId="0" fontId="24" fillId="0" borderId="0" xfId="0" applyFont="1" applyFill="1"/>
    <xf numFmtId="0" fontId="24" fillId="0" borderId="0" xfId="0" applyFont="1"/>
    <xf numFmtId="0" fontId="0" fillId="4" borderId="116" xfId="0" applyNumberFormat="1" applyFill="1" applyBorder="1" applyAlignment="1">
      <alignment horizontal="center" vertical="center"/>
    </xf>
    <xf numFmtId="20" fontId="0" fillId="4" borderId="30" xfId="0" applyNumberFormat="1" applyFill="1" applyBorder="1" applyAlignment="1">
      <alignment horizontal="center" vertical="center"/>
    </xf>
    <xf numFmtId="20" fontId="0" fillId="4" borderId="106" xfId="0" applyNumberFormat="1" applyFill="1" applyBorder="1" applyAlignment="1">
      <alignment horizontal="center" vertical="center"/>
    </xf>
    <xf numFmtId="20" fontId="0" fillId="0" borderId="71" xfId="0" applyNumberFormat="1" applyFill="1" applyBorder="1" applyAlignment="1">
      <alignment horizontal="center"/>
    </xf>
    <xf numFmtId="0" fontId="0" fillId="4" borderId="71" xfId="0" applyNumberFormat="1" applyFill="1" applyBorder="1" applyAlignment="1">
      <alignment horizontal="center" vertical="center"/>
    </xf>
    <xf numFmtId="20" fontId="0" fillId="4" borderId="32" xfId="0" applyNumberFormat="1" applyFill="1" applyBorder="1" applyAlignment="1">
      <alignment horizontal="center"/>
    </xf>
    <xf numFmtId="20" fontId="0" fillId="0" borderId="58" xfId="0" applyNumberFormat="1" applyFill="1" applyBorder="1" applyAlignment="1">
      <alignment horizontal="center"/>
    </xf>
    <xf numFmtId="0" fontId="2" fillId="3" borderId="67" xfId="0" applyFont="1" applyFill="1" applyBorder="1" applyAlignment="1">
      <alignment horizontal="center"/>
    </xf>
    <xf numFmtId="0" fontId="44" fillId="4" borderId="70" xfId="0" applyNumberFormat="1" applyFont="1" applyFill="1" applyBorder="1" applyAlignment="1">
      <alignment horizontal="center" vertical="center"/>
    </xf>
    <xf numFmtId="0" fontId="44" fillId="4" borderId="113" xfId="0" applyNumberFormat="1" applyFont="1" applyFill="1" applyBorder="1" applyAlignment="1">
      <alignment horizontal="center" vertical="center"/>
    </xf>
    <xf numFmtId="0" fontId="44" fillId="4" borderId="31" xfId="0" applyNumberFormat="1" applyFont="1" applyFill="1" applyBorder="1" applyAlignment="1">
      <alignment horizontal="center" vertical="center"/>
    </xf>
    <xf numFmtId="0" fontId="6" fillId="5" borderId="32" xfId="0" applyFont="1" applyFill="1" applyBorder="1" applyAlignment="1">
      <alignment horizontal="center" vertical="center" wrapText="1"/>
    </xf>
    <xf numFmtId="0" fontId="44" fillId="4" borderId="31" xfId="0" applyFont="1" applyFill="1" applyBorder="1" applyAlignment="1">
      <alignment horizontal="center" vertical="center"/>
    </xf>
    <xf numFmtId="0" fontId="6" fillId="5" borderId="3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84" xfId="0" applyBorder="1" applyAlignment="1">
      <alignment vertical="center"/>
    </xf>
    <xf numFmtId="0" fontId="0" fillId="0" borderId="85" xfId="0" applyBorder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24" xfId="0" applyNumberFormat="1" applyFont="1" applyFill="1" applyBorder="1" applyAlignment="1">
      <alignment horizontal="center" vertical="center"/>
    </xf>
    <xf numFmtId="20" fontId="0" fillId="4" borderId="117" xfId="0" applyNumberFormat="1" applyFill="1" applyBorder="1" applyAlignment="1">
      <alignment horizontal="center"/>
    </xf>
    <xf numFmtId="0" fontId="0" fillId="4" borderId="70" xfId="0" applyNumberFormat="1" applyFont="1" applyFill="1" applyBorder="1" applyAlignment="1">
      <alignment horizontal="center" vertical="center"/>
    </xf>
    <xf numFmtId="0" fontId="0" fillId="4" borderId="31" xfId="0" applyNumberFormat="1" applyFont="1" applyFill="1" applyBorder="1" applyAlignment="1">
      <alignment horizontal="center" vertical="center"/>
    </xf>
    <xf numFmtId="0" fontId="44" fillId="6" borderId="30" xfId="0" applyFont="1" applyFill="1" applyBorder="1" applyAlignment="1">
      <alignment horizontal="center"/>
    </xf>
    <xf numFmtId="0" fontId="44" fillId="4" borderId="31" xfId="0" applyFont="1" applyFill="1" applyBorder="1" applyAlignment="1">
      <alignment horizontal="center"/>
    </xf>
    <xf numFmtId="0" fontId="0" fillId="0" borderId="70" xfId="0" applyFill="1" applyBorder="1" applyAlignment="1">
      <alignment horizontal="center"/>
    </xf>
    <xf numFmtId="0" fontId="6" fillId="0" borderId="0" xfId="0" applyFont="1" applyAlignment="1">
      <alignment vertical="center" wrapText="1"/>
    </xf>
    <xf numFmtId="0" fontId="5" fillId="7" borderId="0" xfId="0" applyFont="1" applyFill="1" applyBorder="1"/>
    <xf numFmtId="2" fontId="2" fillId="0" borderId="107" xfId="0" applyNumberFormat="1" applyFont="1" applyBorder="1" applyAlignment="1">
      <alignment horizontal="center" vertical="center"/>
    </xf>
    <xf numFmtId="2" fontId="2" fillId="0" borderId="31" xfId="0" applyNumberFormat="1" applyFont="1" applyBorder="1" applyAlignment="1">
      <alignment horizontal="center" vertical="center"/>
    </xf>
    <xf numFmtId="2" fontId="2" fillId="0" borderId="112" xfId="0" applyNumberFormat="1" applyFont="1" applyBorder="1" applyAlignment="1">
      <alignment horizontal="center" vertical="center"/>
    </xf>
    <xf numFmtId="0" fontId="20" fillId="0" borderId="3" xfId="0" applyFont="1" applyBorder="1" applyAlignment="1">
      <alignment vertical="center"/>
    </xf>
    <xf numFmtId="0" fontId="20" fillId="0" borderId="4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0" fillId="0" borderId="66" xfId="0" applyFont="1" applyBorder="1" applyAlignment="1">
      <alignment vertical="center"/>
    </xf>
    <xf numFmtId="0" fontId="20" fillId="0" borderId="8" xfId="0" applyFont="1" applyBorder="1" applyAlignment="1">
      <alignment vertical="center"/>
    </xf>
    <xf numFmtId="0" fontId="20" fillId="2" borderId="8" xfId="0" applyFont="1" applyFill="1" applyBorder="1" applyAlignment="1">
      <alignment vertical="center"/>
    </xf>
    <xf numFmtId="0" fontId="20" fillId="0" borderId="9" xfId="0" applyFont="1" applyBorder="1" applyAlignment="1">
      <alignment vertical="center"/>
    </xf>
    <xf numFmtId="0" fontId="6" fillId="0" borderId="3" xfId="0" applyFont="1" applyFill="1" applyBorder="1" applyAlignment="1"/>
    <xf numFmtId="0" fontId="20" fillId="2" borderId="3" xfId="0" applyFont="1" applyFill="1" applyBorder="1" applyAlignment="1">
      <alignment vertical="center"/>
    </xf>
    <xf numFmtId="0" fontId="28" fillId="0" borderId="28" xfId="0" applyNumberFormat="1" applyFont="1" applyFill="1" applyBorder="1" applyAlignment="1">
      <alignment vertical="center"/>
    </xf>
    <xf numFmtId="0" fontId="28" fillId="0" borderId="54" xfId="0" applyNumberFormat="1" applyFont="1" applyFill="1" applyBorder="1" applyAlignment="1">
      <alignment vertical="center"/>
    </xf>
    <xf numFmtId="0" fontId="28" fillId="0" borderId="35" xfId="0" applyNumberFormat="1" applyFont="1" applyFill="1" applyBorder="1" applyAlignment="1">
      <alignment vertical="center"/>
    </xf>
    <xf numFmtId="0" fontId="28" fillId="0" borderId="82" xfId="0" applyNumberFormat="1" applyFont="1" applyFill="1" applyBorder="1" applyAlignment="1">
      <alignment vertical="center"/>
    </xf>
    <xf numFmtId="0" fontId="29" fillId="0" borderId="28" xfId="0" applyNumberFormat="1" applyFont="1" applyFill="1" applyBorder="1" applyAlignment="1">
      <alignment vertical="center"/>
    </xf>
    <xf numFmtId="0" fontId="29" fillId="0" borderId="54" xfId="0" applyNumberFormat="1" applyFont="1" applyFill="1" applyBorder="1" applyAlignment="1">
      <alignment vertical="center"/>
    </xf>
    <xf numFmtId="0" fontId="29" fillId="0" borderId="55" xfId="0" applyNumberFormat="1" applyFont="1" applyFill="1" applyBorder="1" applyAlignment="1">
      <alignment vertical="center"/>
    </xf>
    <xf numFmtId="0" fontId="6" fillId="0" borderId="7" xfId="0" applyNumberFormat="1" applyFont="1" applyBorder="1" applyAlignment="1">
      <alignment vertical="center"/>
    </xf>
    <xf numFmtId="0" fontId="6" fillId="0" borderId="8" xfId="0" applyNumberFormat="1" applyFont="1" applyBorder="1" applyAlignment="1">
      <alignment vertical="center"/>
    </xf>
    <xf numFmtId="0" fontId="6" fillId="0" borderId="9" xfId="0" applyNumberFormat="1" applyFont="1" applyBorder="1" applyAlignment="1">
      <alignment vertical="center"/>
    </xf>
    <xf numFmtId="0" fontId="0" fillId="0" borderId="106" xfId="0" applyBorder="1" applyAlignment="1">
      <alignment horizontal="center" vertical="center"/>
    </xf>
    <xf numFmtId="0" fontId="0" fillId="0" borderId="107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0" fillId="0" borderId="120" xfId="0" applyBorder="1" applyAlignment="1">
      <alignment horizontal="center" vertical="center"/>
    </xf>
    <xf numFmtId="0" fontId="0" fillId="0" borderId="121" xfId="0" applyBorder="1" applyAlignment="1">
      <alignment horizontal="center" vertical="center"/>
    </xf>
    <xf numFmtId="0" fontId="0" fillId="0" borderId="121" xfId="0" applyBorder="1" applyAlignment="1">
      <alignment vertical="center"/>
    </xf>
    <xf numFmtId="0" fontId="0" fillId="0" borderId="121" xfId="0" applyBorder="1" applyAlignment="1">
      <alignment horizontal="left" vertical="center"/>
    </xf>
    <xf numFmtId="0" fontId="0" fillId="0" borderId="12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7" fillId="0" borderId="106" xfId="0" applyFont="1" applyFill="1" applyBorder="1" applyAlignment="1">
      <alignment horizontal="center" vertical="center"/>
    </xf>
    <xf numFmtId="20" fontId="27" fillId="0" borderId="107" xfId="0" applyNumberFormat="1" applyFont="1" applyFill="1" applyBorder="1" applyAlignment="1">
      <alignment horizontal="center" vertical="center"/>
    </xf>
    <xf numFmtId="0" fontId="27" fillId="0" borderId="30" xfId="0" applyFont="1" applyFill="1" applyBorder="1" applyAlignment="1">
      <alignment horizontal="center" vertical="center"/>
    </xf>
    <xf numFmtId="20" fontId="27" fillId="0" borderId="31" xfId="0" applyNumberFormat="1" applyFont="1" applyFill="1" applyBorder="1" applyAlignment="1">
      <alignment horizontal="center" vertical="center"/>
    </xf>
    <xf numFmtId="0" fontId="27" fillId="0" borderId="120" xfId="0" applyFont="1" applyFill="1" applyBorder="1" applyAlignment="1">
      <alignment horizontal="center" vertical="center"/>
    </xf>
    <xf numFmtId="0" fontId="27" fillId="0" borderId="121" xfId="0" applyFont="1" applyFill="1" applyBorder="1" applyAlignment="1">
      <alignment horizontal="center" vertical="center"/>
    </xf>
    <xf numFmtId="0" fontId="27" fillId="0" borderId="121" xfId="0" applyFont="1" applyFill="1" applyBorder="1" applyAlignment="1">
      <alignment vertical="center"/>
    </xf>
    <xf numFmtId="20" fontId="27" fillId="0" borderId="122" xfId="0" applyNumberFormat="1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 wrapText="1"/>
    </xf>
    <xf numFmtId="0" fontId="0" fillId="5" borderId="83" xfId="0" applyFill="1" applyBorder="1" applyAlignment="1">
      <alignment horizontal="center" vertical="center" wrapText="1"/>
    </xf>
    <xf numFmtId="0" fontId="0" fillId="4" borderId="81" xfId="0" applyFill="1" applyBorder="1" applyAlignment="1">
      <alignment vertical="center"/>
    </xf>
    <xf numFmtId="0" fontId="0" fillId="0" borderId="81" xfId="0" applyFill="1" applyBorder="1" applyAlignment="1">
      <alignment vertical="center"/>
    </xf>
    <xf numFmtId="0" fontId="0" fillId="0" borderId="81" xfId="0" quotePrefix="1" applyFill="1" applyBorder="1" applyAlignment="1">
      <alignment vertical="center"/>
    </xf>
    <xf numFmtId="0" fontId="0" fillId="4" borderId="81" xfId="0" quotePrefix="1" applyFill="1" applyBorder="1" applyAlignment="1">
      <alignment vertical="center"/>
    </xf>
    <xf numFmtId="0" fontId="0" fillId="5" borderId="117" xfId="0" applyFill="1" applyBorder="1" applyAlignment="1">
      <alignment horizontal="center" vertical="center" wrapText="1"/>
    </xf>
    <xf numFmtId="0" fontId="0" fillId="5" borderId="125" xfId="0" applyFill="1" applyBorder="1" applyAlignment="1">
      <alignment horizontal="center" vertical="center" wrapText="1"/>
    </xf>
    <xf numFmtId="0" fontId="0" fillId="4" borderId="117" xfId="0" applyNumberFormat="1" applyFill="1" applyBorder="1" applyAlignment="1">
      <alignment horizontal="center" vertical="center"/>
    </xf>
    <xf numFmtId="0" fontId="0" fillId="4" borderId="125" xfId="0" applyNumberFormat="1" applyFill="1" applyBorder="1" applyAlignment="1">
      <alignment horizontal="center" vertical="center"/>
    </xf>
    <xf numFmtId="0" fontId="0" fillId="0" borderId="117" xfId="0" applyNumberFormat="1" applyFill="1" applyBorder="1" applyAlignment="1">
      <alignment horizontal="center" vertical="center"/>
    </xf>
    <xf numFmtId="0" fontId="24" fillId="4" borderId="126" xfId="0" applyNumberFormat="1" applyFont="1" applyFill="1" applyBorder="1" applyAlignment="1">
      <alignment horizontal="center" vertical="center"/>
    </xf>
    <xf numFmtId="0" fontId="0" fillId="4" borderId="127" xfId="0" applyNumberFormat="1" applyFill="1" applyBorder="1" applyAlignment="1">
      <alignment horizontal="center" vertical="center"/>
    </xf>
    <xf numFmtId="2" fontId="0" fillId="4" borderId="117" xfId="0" applyNumberFormat="1" applyFill="1" applyBorder="1" applyAlignment="1">
      <alignment horizontal="center" vertical="center"/>
    </xf>
    <xf numFmtId="20" fontId="0" fillId="4" borderId="125" xfId="0" applyNumberFormat="1" applyFill="1" applyBorder="1" applyAlignment="1">
      <alignment horizontal="center" vertical="center"/>
    </xf>
    <xf numFmtId="1" fontId="0" fillId="4" borderId="117" xfId="0" applyNumberFormat="1" applyFill="1" applyBorder="1" applyAlignment="1">
      <alignment horizontal="center" vertical="center"/>
    </xf>
    <xf numFmtId="1" fontId="0" fillId="4" borderId="126" xfId="0" applyNumberFormat="1" applyFill="1" applyBorder="1" applyAlignment="1">
      <alignment horizontal="center" vertical="center"/>
    </xf>
    <xf numFmtId="20" fontId="0" fillId="4" borderId="127" xfId="0" applyNumberFormat="1" applyFill="1" applyBorder="1" applyAlignment="1">
      <alignment horizontal="center" vertical="center"/>
    </xf>
    <xf numFmtId="20" fontId="0" fillId="4" borderId="98" xfId="0" applyNumberFormat="1" applyFill="1" applyBorder="1" applyAlignment="1">
      <alignment horizontal="center" vertical="center"/>
    </xf>
    <xf numFmtId="20" fontId="0" fillId="4" borderId="117" xfId="0" applyNumberFormat="1" applyFill="1" applyBorder="1" applyAlignment="1">
      <alignment horizontal="center" vertical="center"/>
    </xf>
    <xf numFmtId="0" fontId="0" fillId="4" borderId="125" xfId="0" applyFill="1" applyBorder="1" applyAlignment="1">
      <alignment horizontal="center" vertical="center"/>
    </xf>
    <xf numFmtId="0" fontId="0" fillId="0" borderId="63" xfId="0" applyFont="1" applyBorder="1" applyAlignment="1">
      <alignment vertical="top"/>
    </xf>
    <xf numFmtId="0" fontId="0" fillId="0" borderId="58" xfId="0" applyFont="1" applyBorder="1" applyAlignment="1">
      <alignment vertical="top"/>
    </xf>
    <xf numFmtId="0" fontId="43" fillId="0" borderId="58" xfId="0" applyFont="1" applyBorder="1" applyAlignment="1">
      <alignment vertical="top"/>
    </xf>
    <xf numFmtId="0" fontId="0" fillId="0" borderId="128" xfId="0" applyFont="1" applyBorder="1" applyAlignment="1">
      <alignment vertical="top"/>
    </xf>
    <xf numFmtId="0" fontId="0" fillId="5" borderId="110" xfId="0" applyFill="1" applyBorder="1" applyAlignment="1">
      <alignment horizontal="center" vertical="center" wrapText="1"/>
    </xf>
    <xf numFmtId="0" fontId="0" fillId="5" borderId="111" xfId="0" applyFill="1" applyBorder="1" applyAlignment="1">
      <alignment horizontal="center" vertical="center" wrapText="1"/>
    </xf>
    <xf numFmtId="0" fontId="0" fillId="5" borderId="112" xfId="0" applyFill="1" applyBorder="1" applyAlignment="1">
      <alignment horizontal="center" vertical="center" wrapText="1"/>
    </xf>
    <xf numFmtId="2" fontId="0" fillId="4" borderId="25" xfId="0" applyNumberFormat="1" applyFill="1" applyBorder="1" applyAlignment="1">
      <alignment horizontal="center" vertical="center"/>
    </xf>
    <xf numFmtId="2" fontId="0" fillId="4" borderId="27" xfId="0" applyNumberFormat="1" applyFill="1" applyBorder="1" applyAlignment="1">
      <alignment horizontal="center" vertical="center"/>
    </xf>
    <xf numFmtId="1" fontId="0" fillId="4" borderId="27" xfId="0" applyNumberFormat="1" applyFill="1" applyBorder="1" applyAlignment="1">
      <alignment horizontal="center" vertical="center"/>
    </xf>
    <xf numFmtId="20" fontId="0" fillId="4" borderId="26" xfId="0" applyNumberFormat="1" applyFill="1" applyBorder="1" applyAlignment="1">
      <alignment horizontal="center" vertical="center"/>
    </xf>
    <xf numFmtId="1" fontId="0" fillId="4" borderId="25" xfId="0" applyNumberFormat="1" applyFill="1" applyBorder="1" applyAlignment="1">
      <alignment horizontal="center" vertical="center"/>
    </xf>
    <xf numFmtId="20" fontId="0" fillId="6" borderId="25" xfId="0" applyNumberFormat="1" applyFill="1" applyBorder="1" applyAlignment="1">
      <alignment horizontal="center" vertical="center"/>
    </xf>
    <xf numFmtId="20" fontId="0" fillId="6" borderId="27" xfId="0" applyNumberForma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2" fontId="0" fillId="0" borderId="30" xfId="0" applyNumberFormat="1" applyFill="1" applyBorder="1" applyAlignment="1">
      <alignment horizontal="center" vertical="center"/>
    </xf>
    <xf numFmtId="20" fontId="0" fillId="4" borderId="31" xfId="0" applyNumberFormat="1" applyFill="1" applyBorder="1" applyAlignment="1">
      <alignment horizontal="center" vertical="center"/>
    </xf>
    <xf numFmtId="1" fontId="0" fillId="0" borderId="30" xfId="0" applyNumberFormat="1" applyFill="1" applyBorder="1" applyAlignment="1">
      <alignment horizontal="center" vertical="center"/>
    </xf>
    <xf numFmtId="20" fontId="0" fillId="6" borderId="30" xfId="0" applyNumberForma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4" borderId="120" xfId="0" applyFill="1" applyBorder="1" applyAlignment="1">
      <alignment horizontal="center" vertical="center"/>
    </xf>
    <xf numFmtId="2" fontId="24" fillId="4" borderId="121" xfId="0" applyNumberFormat="1" applyFont="1" applyFill="1" applyBorder="1" applyAlignment="1">
      <alignment horizontal="center" vertical="center"/>
    </xf>
    <xf numFmtId="0" fontId="0" fillId="4" borderId="121" xfId="0" applyFill="1" applyBorder="1" applyAlignment="1">
      <alignment horizontal="center" vertical="center"/>
    </xf>
    <xf numFmtId="0" fontId="24" fillId="4" borderId="121" xfId="0" applyNumberFormat="1" applyFont="1" applyFill="1" applyBorder="1" applyAlignment="1">
      <alignment horizontal="center" vertical="center"/>
    </xf>
    <xf numFmtId="0" fontId="0" fillId="4" borderId="122" xfId="0" applyFill="1" applyBorder="1" applyAlignment="1">
      <alignment horizontal="center" vertical="center"/>
    </xf>
    <xf numFmtId="1" fontId="24" fillId="0" borderId="84" xfId="0" applyNumberFormat="1" applyFont="1" applyBorder="1" applyAlignment="1">
      <alignment vertical="center"/>
    </xf>
    <xf numFmtId="0" fontId="0" fillId="0" borderId="84" xfId="0" applyFill="1" applyBorder="1" applyAlignment="1">
      <alignment vertical="center"/>
    </xf>
    <xf numFmtId="20" fontId="0" fillId="4" borderId="120" xfId="0" applyNumberFormat="1" applyFill="1" applyBorder="1" applyAlignment="1">
      <alignment horizontal="center" vertical="center"/>
    </xf>
    <xf numFmtId="20" fontId="0" fillId="4" borderId="121" xfId="0" applyNumberFormat="1" applyFill="1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129" xfId="0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49" fontId="16" fillId="0" borderId="24" xfId="0" applyNumberFormat="1" applyFont="1" applyFill="1" applyBorder="1" applyAlignment="1">
      <alignment horizontal="center" vertical="center"/>
    </xf>
    <xf numFmtId="0" fontId="5" fillId="7" borderId="86" xfId="0" applyFont="1" applyFill="1" applyBorder="1"/>
    <xf numFmtId="0" fontId="5" fillId="7" borderId="88" xfId="0" applyFont="1" applyFill="1" applyBorder="1"/>
    <xf numFmtId="0" fontId="5" fillId="7" borderId="86" xfId="0" applyFont="1" applyFill="1" applyBorder="1" applyAlignment="1">
      <alignment horizontal="center"/>
    </xf>
    <xf numFmtId="0" fontId="5" fillId="7" borderId="88" xfId="0" applyFont="1" applyFill="1" applyBorder="1" applyAlignment="1">
      <alignment horizontal="center" vertical="center"/>
    </xf>
    <xf numFmtId="0" fontId="0" fillId="0" borderId="106" xfId="0" applyFont="1" applyBorder="1" applyAlignment="1">
      <alignment horizontal="center" vertical="top"/>
    </xf>
    <xf numFmtId="0" fontId="0" fillId="0" borderId="71" xfId="0" applyFont="1" applyBorder="1" applyAlignment="1">
      <alignment horizontal="center"/>
    </xf>
    <xf numFmtId="0" fontId="0" fillId="0" borderId="107" xfId="0" applyFont="1" applyBorder="1" applyAlignment="1">
      <alignment horizontal="center"/>
    </xf>
    <xf numFmtId="0" fontId="0" fillId="0" borderId="30" xfId="0" applyFont="1" applyBorder="1" applyAlignment="1">
      <alignment horizontal="center" vertical="top"/>
    </xf>
    <xf numFmtId="0" fontId="0" fillId="0" borderId="32" xfId="0" applyFont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0" fillId="0" borderId="110" xfId="0" applyFont="1" applyBorder="1" applyAlignment="1">
      <alignment horizontal="center" vertical="top"/>
    </xf>
    <xf numFmtId="0" fontId="0" fillId="0" borderId="111" xfId="0" applyFont="1" applyBorder="1" applyAlignment="1">
      <alignment horizontal="center"/>
    </xf>
    <xf numFmtId="0" fontId="0" fillId="0" borderId="111" xfId="0" applyFont="1" applyBorder="1" applyAlignment="1">
      <alignment horizontal="center" vertical="center"/>
    </xf>
    <xf numFmtId="0" fontId="0" fillId="0" borderId="112" xfId="0" applyFont="1" applyBorder="1" applyAlignment="1">
      <alignment horizontal="center"/>
    </xf>
    <xf numFmtId="0" fontId="0" fillId="0" borderId="112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24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8" borderId="16" xfId="0" applyNumberFormat="1" applyFont="1" applyFill="1" applyBorder="1" applyAlignment="1">
      <alignment horizontal="left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7" xfId="0" applyFont="1" applyBorder="1" applyAlignment="1">
      <alignment vertical="center"/>
    </xf>
    <xf numFmtId="0" fontId="39" fillId="0" borderId="1" xfId="0" applyNumberFormat="1" applyFont="1" applyBorder="1" applyAlignment="1">
      <alignment horizontal="left" vertical="top"/>
    </xf>
    <xf numFmtId="2" fontId="0" fillId="0" borderId="30" xfId="0" applyNumberFormat="1" applyFont="1" applyBorder="1" applyAlignment="1">
      <alignment horizontal="center" vertical="top"/>
    </xf>
    <xf numFmtId="2" fontId="0" fillId="0" borderId="106" xfId="0" applyNumberFormat="1" applyFont="1" applyBorder="1" applyAlignment="1">
      <alignment horizontal="center" vertical="top"/>
    </xf>
    <xf numFmtId="2" fontId="0" fillId="0" borderId="110" xfId="0" applyNumberFormat="1" applyFont="1" applyBorder="1" applyAlignment="1">
      <alignment horizontal="center" vertical="top"/>
    </xf>
    <xf numFmtId="0" fontId="5" fillId="7" borderId="1" xfId="0" applyNumberFormat="1" applyFont="1" applyFill="1" applyBorder="1" applyAlignment="1">
      <alignment vertical="center"/>
    </xf>
    <xf numFmtId="2" fontId="31" fillId="0" borderId="8" xfId="0" applyNumberFormat="1" applyFont="1" applyFill="1" applyBorder="1" applyAlignment="1">
      <alignment horizontal="center" vertical="center"/>
    </xf>
    <xf numFmtId="2" fontId="31" fillId="0" borderId="9" xfId="0" applyNumberFormat="1" applyFont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horizontal="center" vertical="center"/>
    </xf>
    <xf numFmtId="2" fontId="31" fillId="0" borderId="6" xfId="0" applyNumberFormat="1" applyFont="1" applyBorder="1" applyAlignment="1">
      <alignment horizontal="center" vertical="center"/>
    </xf>
    <xf numFmtId="0" fontId="31" fillId="8" borderId="32" xfId="0" applyFont="1" applyFill="1" applyBorder="1" applyAlignment="1">
      <alignment horizontal="center"/>
    </xf>
    <xf numFmtId="0" fontId="31" fillId="8" borderId="32" xfId="0" applyFont="1" applyFill="1" applyBorder="1"/>
    <xf numFmtId="0" fontId="31" fillId="8" borderId="70" xfId="0" applyFont="1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48" fillId="3" borderId="70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3" borderId="110" xfId="0" applyFont="1" applyFill="1" applyBorder="1" applyAlignment="1">
      <alignment horizontal="center" vertical="center" wrapText="1"/>
    </xf>
    <xf numFmtId="0" fontId="6" fillId="3" borderId="11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3" borderId="25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3" borderId="70" xfId="0" applyFont="1" applyFill="1" applyBorder="1" applyAlignment="1">
      <alignment horizontal="center" vertical="center" wrapText="1"/>
    </xf>
    <xf numFmtId="0" fontId="48" fillId="3" borderId="31" xfId="0" applyFont="1" applyFill="1" applyBorder="1" applyAlignment="1">
      <alignment horizontal="center" vertical="center" wrapText="1"/>
    </xf>
    <xf numFmtId="0" fontId="48" fillId="3" borderId="30" xfId="0" applyFont="1" applyFill="1" applyBorder="1" applyAlignment="1">
      <alignment horizontal="center" vertical="center" wrapText="1"/>
    </xf>
    <xf numFmtId="0" fontId="6" fillId="3" borderId="58" xfId="0" applyFont="1" applyFill="1" applyBorder="1" applyAlignment="1">
      <alignment horizontal="center" vertical="center" wrapText="1"/>
    </xf>
    <xf numFmtId="0" fontId="6" fillId="3" borderId="116" xfId="0" applyFont="1" applyFill="1" applyBorder="1" applyAlignment="1">
      <alignment horizontal="center" vertical="center" wrapText="1"/>
    </xf>
    <xf numFmtId="0" fontId="48" fillId="5" borderId="31" xfId="0" applyFont="1" applyFill="1" applyBorder="1" applyAlignment="1">
      <alignment horizontal="center" vertical="center" wrapText="1"/>
    </xf>
    <xf numFmtId="0" fontId="6" fillId="5" borderId="70" xfId="0" applyFont="1" applyFill="1" applyBorder="1" applyAlignment="1">
      <alignment horizontal="center" vertical="center" wrapText="1"/>
    </xf>
    <xf numFmtId="0" fontId="6" fillId="5" borderId="31" xfId="0" applyFont="1" applyFill="1" applyBorder="1" applyAlignment="1">
      <alignment horizontal="center" vertical="center" wrapText="1"/>
    </xf>
    <xf numFmtId="0" fontId="6" fillId="0" borderId="0" xfId="0" applyFont="1"/>
    <xf numFmtId="0" fontId="34" fillId="3" borderId="31" xfId="0" applyFont="1" applyFill="1" applyBorder="1" applyAlignment="1">
      <alignment horizontal="center" vertical="center" wrapText="1"/>
    </xf>
    <xf numFmtId="2" fontId="0" fillId="0" borderId="32" xfId="0" applyNumberFormat="1" applyFill="1" applyBorder="1" applyAlignment="1">
      <alignment horizontal="center"/>
    </xf>
    <xf numFmtId="0" fontId="44" fillId="6" borderId="31" xfId="0" applyFont="1" applyFill="1" applyBorder="1" applyAlignment="1">
      <alignment horizontal="center" vertical="center"/>
    </xf>
    <xf numFmtId="21" fontId="0" fillId="0" borderId="32" xfId="0" applyNumberFormat="1" applyFill="1" applyBorder="1" applyAlignment="1">
      <alignment horizontal="center"/>
    </xf>
    <xf numFmtId="20" fontId="0" fillId="0" borderId="32" xfId="0" applyNumberFormat="1" applyFill="1" applyBorder="1" applyAlignment="1">
      <alignment horizontal="center"/>
    </xf>
    <xf numFmtId="20" fontId="27" fillId="0" borderId="30" xfId="0" applyNumberFormat="1" applyFont="1" applyFill="1" applyBorder="1" applyAlignment="1">
      <alignment horizontal="center"/>
    </xf>
    <xf numFmtId="20" fontId="27" fillId="0" borderId="32" xfId="0" applyNumberFormat="1" applyFont="1" applyFill="1" applyBorder="1" applyAlignment="1">
      <alignment horizontal="center"/>
    </xf>
    <xf numFmtId="20" fontId="0" fillId="0" borderId="30" xfId="0" applyNumberFormat="1" applyBorder="1" applyAlignment="1">
      <alignment horizontal="center"/>
    </xf>
    <xf numFmtId="20" fontId="0" fillId="0" borderId="0" xfId="0" applyNumberFormat="1" applyFill="1" applyBorder="1" applyAlignment="1">
      <alignment horizontal="center"/>
    </xf>
    <xf numFmtId="20" fontId="0" fillId="0" borderId="32" xfId="0" applyNumberFormat="1" applyBorder="1" applyAlignment="1">
      <alignment horizontal="center" vertical="center"/>
    </xf>
    <xf numFmtId="20" fontId="0" fillId="0" borderId="0" xfId="0" applyNumberFormat="1" applyBorder="1" applyAlignment="1">
      <alignment horizontal="center"/>
    </xf>
    <xf numFmtId="1" fontId="44" fillId="4" borderId="31" xfId="0" applyNumberFormat="1" applyFon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9" borderId="70" xfId="0" applyFill="1" applyBorder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5" fillId="7" borderId="16" xfId="0" applyNumberFormat="1" applyFont="1" applyFill="1" applyBorder="1" applyAlignment="1">
      <alignment horizontal="left" vertical="center"/>
    </xf>
    <xf numFmtId="0" fontId="5" fillId="7" borderId="18" xfId="0" applyNumberFormat="1" applyFont="1" applyFill="1" applyBorder="1" applyAlignment="1">
      <alignment horizontal="left" vertical="center"/>
    </xf>
    <xf numFmtId="0" fontId="1" fillId="0" borderId="16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2" fillId="7" borderId="86" xfId="0" applyFont="1" applyFill="1" applyBorder="1" applyAlignment="1">
      <alignment vertical="center"/>
    </xf>
    <xf numFmtId="0" fontId="12" fillId="7" borderId="87" xfId="0" applyFont="1" applyFill="1" applyBorder="1" applyAlignment="1">
      <alignment vertical="center"/>
    </xf>
    <xf numFmtId="0" fontId="2" fillId="0" borderId="29" xfId="0" applyFont="1" applyBorder="1" applyAlignment="1">
      <alignment vertical="center" wrapText="1"/>
    </xf>
    <xf numFmtId="0" fontId="2" fillId="0" borderId="33" xfId="0" applyFont="1" applyBorder="1" applyAlignment="1">
      <alignment vertical="center" wrapText="1"/>
    </xf>
    <xf numFmtId="0" fontId="2" fillId="0" borderId="55" xfId="0" applyFont="1" applyBorder="1" applyAlignment="1">
      <alignment vertical="center" wrapText="1"/>
    </xf>
    <xf numFmtId="0" fontId="12" fillId="7" borderId="86" xfId="0" applyFont="1" applyFill="1" applyBorder="1" applyAlignment="1">
      <alignment horizontal="center" vertical="center" wrapText="1"/>
    </xf>
    <xf numFmtId="0" fontId="12" fillId="7" borderId="87" xfId="0" applyFont="1" applyFill="1" applyBorder="1" applyAlignment="1">
      <alignment horizontal="center" vertical="center" wrapText="1"/>
    </xf>
    <xf numFmtId="0" fontId="2" fillId="0" borderId="105" xfId="0" applyFont="1" applyBorder="1" applyAlignment="1">
      <alignment vertical="center" wrapText="1"/>
    </xf>
    <xf numFmtId="0" fontId="2" fillId="0" borderId="84" xfId="0" applyFont="1" applyBorder="1" applyAlignment="1">
      <alignment vertical="center" wrapText="1"/>
    </xf>
    <xf numFmtId="0" fontId="2" fillId="0" borderId="85" xfId="0" applyFont="1" applyBorder="1" applyAlignment="1">
      <alignment vertical="center" wrapText="1"/>
    </xf>
    <xf numFmtId="0" fontId="2" fillId="0" borderId="118" xfId="0" applyFont="1" applyBorder="1" applyAlignment="1">
      <alignment vertical="center" wrapText="1"/>
    </xf>
    <xf numFmtId="0" fontId="2" fillId="0" borderId="108" xfId="0" applyFont="1" applyBorder="1" applyAlignment="1">
      <alignment vertical="center" wrapText="1"/>
    </xf>
    <xf numFmtId="0" fontId="2" fillId="0" borderId="109" xfId="0" applyFont="1" applyBorder="1" applyAlignment="1">
      <alignment vertical="center" wrapText="1"/>
    </xf>
    <xf numFmtId="0" fontId="11" fillId="7" borderId="0" xfId="0" applyFont="1" applyFill="1" applyBorder="1" applyAlignment="1">
      <alignment horizontal="center" vertical="center"/>
    </xf>
    <xf numFmtId="0" fontId="12" fillId="7" borderId="71" xfId="0" applyFont="1" applyFill="1" applyBorder="1" applyAlignment="1">
      <alignment horizontal="center" vertical="center"/>
    </xf>
    <xf numFmtId="0" fontId="12" fillId="7" borderId="113" xfId="0" applyFont="1" applyFill="1" applyBorder="1" applyAlignment="1">
      <alignment horizontal="center" vertical="center"/>
    </xf>
    <xf numFmtId="0" fontId="4" fillId="0" borderId="94" xfId="0" applyFont="1" applyBorder="1" applyAlignment="1">
      <alignment horizontal="center" vertical="center"/>
    </xf>
    <xf numFmtId="0" fontId="4" fillId="0" borderId="95" xfId="0" applyFont="1" applyBorder="1" applyAlignment="1">
      <alignment horizontal="center" vertical="center"/>
    </xf>
    <xf numFmtId="0" fontId="4" fillId="2" borderId="8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0" borderId="8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30" fillId="0" borderId="10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1" fillId="7" borderId="19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76" xfId="0" applyFont="1" applyFill="1" applyBorder="1" applyAlignment="1">
      <alignment horizontal="center"/>
    </xf>
    <xf numFmtId="0" fontId="34" fillId="2" borderId="76" xfId="0" applyFont="1" applyFill="1" applyBorder="1" applyAlignment="1">
      <alignment horizontal="center" vertical="center"/>
    </xf>
    <xf numFmtId="0" fontId="6" fillId="0" borderId="76" xfId="0" applyFont="1" applyBorder="1" applyAlignment="1">
      <alignment horizontal="center"/>
    </xf>
    <xf numFmtId="0" fontId="22" fillId="0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0" fillId="0" borderId="58" xfId="0" applyFill="1" applyBorder="1" applyAlignment="1">
      <alignment vertical="center" wrapText="1"/>
    </xf>
    <xf numFmtId="0" fontId="0" fillId="0" borderId="119" xfId="0" applyFill="1" applyBorder="1" applyAlignment="1">
      <alignment vertical="center" wrapText="1"/>
    </xf>
    <xf numFmtId="0" fontId="12" fillId="7" borderId="0" xfId="0" applyFont="1" applyFill="1" applyBorder="1" applyAlignment="1">
      <alignment horizontal="center" vertical="center"/>
    </xf>
    <xf numFmtId="0" fontId="0" fillId="0" borderId="63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0" fillId="0" borderId="29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82" xfId="0" applyBorder="1" applyAlignment="1">
      <alignment vertical="center"/>
    </xf>
    <xf numFmtId="0" fontId="0" fillId="0" borderId="29" xfId="0" applyFill="1" applyBorder="1" applyAlignment="1">
      <alignment horizontal="left" vertical="center" wrapText="1"/>
    </xf>
    <xf numFmtId="0" fontId="0" fillId="0" borderId="33" xfId="0" applyFill="1" applyBorder="1" applyAlignment="1">
      <alignment horizontal="left" vertical="center" wrapText="1"/>
    </xf>
    <xf numFmtId="0" fontId="0" fillId="0" borderId="55" xfId="0" applyFill="1" applyBorder="1" applyAlignment="1">
      <alignment horizontal="left" vertical="center" wrapText="1"/>
    </xf>
    <xf numFmtId="0" fontId="0" fillId="0" borderId="105" xfId="0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85" xfId="0" applyBorder="1" applyAlignment="1">
      <alignment vertical="center"/>
    </xf>
    <xf numFmtId="0" fontId="3" fillId="0" borderId="29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0" fontId="39" fillId="0" borderId="29" xfId="0" applyFont="1" applyBorder="1" applyAlignment="1">
      <alignment horizontal="center" vertical="center"/>
    </xf>
    <xf numFmtId="0" fontId="39" fillId="0" borderId="33" xfId="0" applyFont="1" applyBorder="1" applyAlignment="1">
      <alignment horizontal="center" vertical="center"/>
    </xf>
    <xf numFmtId="0" fontId="39" fillId="0" borderId="55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wrapText="1"/>
    </xf>
    <xf numFmtId="0" fontId="18" fillId="0" borderId="18" xfId="0" applyFont="1" applyFill="1" applyBorder="1" applyAlignment="1">
      <alignment horizontal="center" wrapText="1"/>
    </xf>
    <xf numFmtId="0" fontId="18" fillId="0" borderId="1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/>
    </xf>
    <xf numFmtId="0" fontId="47" fillId="6" borderId="3" xfId="0" applyFont="1" applyFill="1" applyBorder="1" applyAlignment="1">
      <alignment horizontal="center" vertical="center"/>
    </xf>
    <xf numFmtId="0" fontId="47" fillId="6" borderId="4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5" fillId="8" borderId="16" xfId="0" applyNumberFormat="1" applyFont="1" applyFill="1" applyBorder="1" applyAlignment="1">
      <alignment horizontal="left" vertical="center"/>
    </xf>
    <xf numFmtId="0" fontId="5" fillId="8" borderId="18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 vertical="center"/>
    </xf>
    <xf numFmtId="0" fontId="42" fillId="0" borderId="16" xfId="0" applyFont="1" applyBorder="1" applyAlignment="1">
      <alignment horizontal="left" vertical="center" wrapText="1"/>
    </xf>
    <xf numFmtId="0" fontId="42" fillId="0" borderId="18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wrapText="1"/>
    </xf>
    <xf numFmtId="0" fontId="3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wrapText="1"/>
    </xf>
    <xf numFmtId="0" fontId="18" fillId="0" borderId="18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23" fillId="7" borderId="0" xfId="0" applyFont="1" applyFill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>
      <alignment horizontal="center" vertical="center" wrapText="1"/>
    </xf>
    <xf numFmtId="0" fontId="14" fillId="0" borderId="4" xfId="0" applyNumberFormat="1" applyFont="1" applyFill="1" applyBorder="1" applyAlignment="1">
      <alignment horizontal="center" vertical="center" wrapText="1"/>
    </xf>
    <xf numFmtId="0" fontId="12" fillId="7" borderId="5" xfId="0" applyNumberFormat="1" applyFont="1" applyFill="1" applyBorder="1" applyAlignment="1">
      <alignment horizontal="center" vertical="center"/>
    </xf>
    <xf numFmtId="0" fontId="12" fillId="7" borderId="0" xfId="0" applyNumberFormat="1" applyFont="1" applyFill="1" applyBorder="1" applyAlignment="1">
      <alignment horizontal="center" vertical="center"/>
    </xf>
    <xf numFmtId="0" fontId="12" fillId="7" borderId="6" xfId="0" applyNumberFormat="1" applyFont="1" applyFill="1" applyBorder="1" applyAlignment="1">
      <alignment horizontal="center" vertical="center"/>
    </xf>
    <xf numFmtId="0" fontId="41" fillId="7" borderId="0" xfId="0" applyNumberFormat="1" applyFont="1" applyFill="1" applyBorder="1" applyAlignment="1">
      <alignment horizontal="center" vertical="center"/>
    </xf>
    <xf numFmtId="0" fontId="11" fillId="7" borderId="0" xfId="0" applyNumberFormat="1" applyFont="1" applyFill="1" applyBorder="1" applyAlignment="1">
      <alignment horizontal="center" vertical="center"/>
    </xf>
    <xf numFmtId="0" fontId="26" fillId="0" borderId="2" xfId="0" applyNumberFormat="1" applyFont="1" applyFill="1" applyBorder="1" applyAlignment="1">
      <alignment horizontal="center" vertical="center"/>
    </xf>
    <xf numFmtId="0" fontId="26" fillId="0" borderId="4" xfId="0" applyNumberFormat="1" applyFont="1" applyFill="1" applyBorder="1" applyAlignment="1">
      <alignment horizontal="center" vertical="center"/>
    </xf>
    <xf numFmtId="0" fontId="26" fillId="0" borderId="7" xfId="0" applyNumberFormat="1" applyFont="1" applyFill="1" applyBorder="1" applyAlignment="1">
      <alignment horizontal="center" vertical="center"/>
    </xf>
    <xf numFmtId="0" fontId="26" fillId="0" borderId="9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1" fillId="7" borderId="0" xfId="0" applyNumberFormat="1" applyFont="1" applyFill="1" applyAlignment="1">
      <alignment horizontal="center" vertical="center"/>
    </xf>
    <xf numFmtId="0" fontId="41" fillId="7" borderId="0" xfId="0" applyFont="1" applyFill="1" applyAlignment="1">
      <alignment horizontal="center" vertical="center"/>
    </xf>
    <xf numFmtId="49" fontId="16" fillId="0" borderId="29" xfId="0" applyNumberFormat="1" applyFont="1" applyFill="1" applyBorder="1" applyAlignment="1">
      <alignment vertical="center"/>
    </xf>
    <xf numFmtId="49" fontId="16" fillId="0" borderId="33" xfId="0" applyNumberFormat="1" applyFont="1" applyFill="1" applyBorder="1" applyAlignment="1">
      <alignment vertical="center"/>
    </xf>
    <xf numFmtId="49" fontId="16" fillId="0" borderId="55" xfId="0" applyNumberFormat="1" applyFont="1" applyFill="1" applyBorder="1" applyAlignment="1">
      <alignment vertical="center"/>
    </xf>
    <xf numFmtId="49" fontId="41" fillId="7" borderId="0" xfId="0" applyNumberFormat="1" applyFont="1" applyFill="1" applyAlignment="1">
      <alignment horizontal="center" vertical="center"/>
    </xf>
    <xf numFmtId="0" fontId="41" fillId="7" borderId="19" xfId="0" applyNumberFormat="1" applyFont="1" applyFill="1" applyBorder="1" applyAlignment="1">
      <alignment horizontal="center" vertical="center"/>
    </xf>
    <xf numFmtId="0" fontId="41" fillId="7" borderId="19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49" fontId="17" fillId="6" borderId="21" xfId="0" applyNumberFormat="1" applyFont="1" applyFill="1" applyBorder="1" applyAlignment="1">
      <alignment horizontal="center" vertical="center" wrapText="1"/>
    </xf>
    <xf numFmtId="0" fontId="27" fillId="0" borderId="74" xfId="0" applyNumberFormat="1" applyFont="1" applyFill="1" applyBorder="1" applyAlignment="1">
      <alignment horizontal="left" vertical="center"/>
    </xf>
    <xf numFmtId="0" fontId="27" fillId="0" borderId="75" xfId="0" applyNumberFormat="1" applyFont="1" applyFill="1" applyBorder="1" applyAlignment="1">
      <alignment horizontal="left" vertical="center"/>
    </xf>
    <xf numFmtId="49" fontId="16" fillId="0" borderId="37" xfId="0" applyNumberFormat="1" applyFont="1" applyFill="1" applyBorder="1" applyAlignment="1">
      <alignment vertical="center"/>
    </xf>
    <xf numFmtId="49" fontId="16" fillId="0" borderId="38" xfId="0" applyNumberFormat="1" applyFont="1" applyFill="1" applyBorder="1" applyAlignment="1">
      <alignment vertical="center"/>
    </xf>
    <xf numFmtId="49" fontId="16" fillId="0" borderId="56" xfId="0" applyNumberFormat="1" applyFont="1" applyFill="1" applyBorder="1" applyAlignment="1">
      <alignment vertical="center"/>
    </xf>
    <xf numFmtId="0" fontId="4" fillId="0" borderId="90" xfId="0" applyFont="1" applyBorder="1" applyAlignment="1">
      <alignment horizontal="center" vertical="center"/>
    </xf>
    <xf numFmtId="0" fontId="4" fillId="0" borderId="91" xfId="0" applyFont="1" applyBorder="1" applyAlignment="1">
      <alignment horizontal="center" vertical="center"/>
    </xf>
    <xf numFmtId="0" fontId="4" fillId="0" borderId="92" xfId="0" applyFont="1" applyBorder="1" applyAlignment="1">
      <alignment horizontal="center" vertical="center"/>
    </xf>
    <xf numFmtId="0" fontId="4" fillId="0" borderId="93" xfId="0" applyFont="1" applyBorder="1" applyAlignment="1">
      <alignment horizontal="center" vertical="center"/>
    </xf>
    <xf numFmtId="49" fontId="9" fillId="0" borderId="74" xfId="0" applyNumberFormat="1" applyFont="1" applyFill="1" applyBorder="1" applyAlignment="1">
      <alignment horizontal="center" vertical="center"/>
    </xf>
    <xf numFmtId="49" fontId="9" fillId="0" borderId="73" xfId="0" applyNumberFormat="1" applyFont="1" applyFill="1" applyBorder="1" applyAlignment="1">
      <alignment horizontal="center" vertical="center"/>
    </xf>
    <xf numFmtId="49" fontId="9" fillId="0" borderId="75" xfId="0" applyNumberFormat="1" applyFont="1" applyFill="1" applyBorder="1" applyAlignment="1">
      <alignment horizontal="center" vertical="center"/>
    </xf>
    <xf numFmtId="49" fontId="16" fillId="0" borderId="24" xfId="0" applyNumberFormat="1" applyFont="1" applyFill="1" applyBorder="1" applyAlignment="1">
      <alignment vertical="center"/>
    </xf>
    <xf numFmtId="49" fontId="16" fillId="0" borderId="28" xfId="0" applyNumberFormat="1" applyFont="1" applyFill="1" applyBorder="1" applyAlignment="1">
      <alignment vertical="center"/>
    </xf>
    <xf numFmtId="49" fontId="16" fillId="0" borderId="54" xfId="0" applyNumberFormat="1" applyFont="1" applyFill="1" applyBorder="1" applyAlignment="1">
      <alignment vertical="center"/>
    </xf>
    <xf numFmtId="49" fontId="16" fillId="0" borderId="11" xfId="0" applyNumberFormat="1" applyFont="1" applyFill="1" applyBorder="1" applyAlignment="1">
      <alignment vertical="center"/>
    </xf>
    <xf numFmtId="49" fontId="16" fillId="0" borderId="49" xfId="0" applyNumberFormat="1" applyFont="1" applyFill="1" applyBorder="1" applyAlignment="1">
      <alignment vertical="center"/>
    </xf>
    <xf numFmtId="49" fontId="16" fillId="0" borderId="50" xfId="0" applyNumberFormat="1" applyFont="1" applyFill="1" applyBorder="1" applyAlignment="1">
      <alignment vertical="center"/>
    </xf>
    <xf numFmtId="49" fontId="16" fillId="0" borderId="48" xfId="0" applyNumberFormat="1" applyFont="1" applyFill="1" applyBorder="1" applyAlignment="1">
      <alignment vertical="center"/>
    </xf>
    <xf numFmtId="49" fontId="9" fillId="0" borderId="29" xfId="0" applyNumberFormat="1" applyFont="1" applyFill="1" applyBorder="1" applyAlignment="1">
      <alignment horizontal="center" vertical="center"/>
    </xf>
    <xf numFmtId="49" fontId="9" fillId="0" borderId="55" xfId="0" applyNumberFormat="1" applyFont="1" applyFill="1" applyBorder="1" applyAlignment="1">
      <alignment horizontal="center" vertical="center"/>
    </xf>
    <xf numFmtId="49" fontId="9" fillId="0" borderId="24" xfId="0" applyNumberFormat="1" applyFont="1" applyFill="1" applyBorder="1" applyAlignment="1">
      <alignment horizontal="center" vertical="center"/>
    </xf>
    <xf numFmtId="49" fontId="9" fillId="0" borderId="54" xfId="0" applyNumberFormat="1" applyFont="1" applyFill="1" applyBorder="1" applyAlignment="1">
      <alignment horizontal="center" vertical="center"/>
    </xf>
    <xf numFmtId="49" fontId="9" fillId="0" borderId="37" xfId="0" applyNumberFormat="1" applyFont="1" applyFill="1" applyBorder="1" applyAlignment="1">
      <alignment horizontal="center" vertical="center"/>
    </xf>
    <xf numFmtId="49" fontId="9" fillId="0" borderId="56" xfId="0" applyNumberFormat="1" applyFont="1" applyFill="1" applyBorder="1" applyAlignment="1">
      <alignment horizontal="center" vertical="center"/>
    </xf>
    <xf numFmtId="49" fontId="16" fillId="0" borderId="29" xfId="0" applyNumberFormat="1" applyFont="1" applyFill="1" applyBorder="1" applyAlignment="1">
      <alignment horizontal="center" vertical="center"/>
    </xf>
    <xf numFmtId="49" fontId="16" fillId="0" borderId="55" xfId="0" applyNumberFormat="1" applyFont="1" applyFill="1" applyBorder="1" applyAlignment="1">
      <alignment horizontal="center" vertical="center"/>
    </xf>
    <xf numFmtId="49" fontId="16" fillId="0" borderId="37" xfId="0" applyNumberFormat="1" applyFont="1" applyFill="1" applyBorder="1" applyAlignment="1">
      <alignment horizontal="center" vertical="center"/>
    </xf>
    <xf numFmtId="49" fontId="16" fillId="0" borderId="56" xfId="0" applyNumberFormat="1" applyFont="1" applyFill="1" applyBorder="1" applyAlignment="1">
      <alignment horizontal="center" vertical="center"/>
    </xf>
    <xf numFmtId="49" fontId="16" fillId="0" borderId="24" xfId="0" applyNumberFormat="1" applyFont="1" applyFill="1" applyBorder="1" applyAlignment="1">
      <alignment horizontal="center" vertical="center"/>
    </xf>
    <xf numFmtId="49" fontId="16" fillId="0" borderId="54" xfId="0" applyNumberFormat="1" applyFont="1" applyFill="1" applyBorder="1" applyAlignment="1">
      <alignment horizontal="center" vertical="center"/>
    </xf>
    <xf numFmtId="49" fontId="29" fillId="6" borderId="21" xfId="0" applyNumberFormat="1" applyFont="1" applyFill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/>
    </xf>
    <xf numFmtId="0" fontId="18" fillId="0" borderId="66" xfId="0" applyFont="1" applyBorder="1" applyAlignment="1">
      <alignment horizontal="center" vertical="center"/>
    </xf>
    <xf numFmtId="49" fontId="9" fillId="0" borderId="40" xfId="0" applyNumberFormat="1" applyFont="1" applyFill="1" applyBorder="1" applyAlignment="1">
      <alignment horizontal="center" vertical="center"/>
    </xf>
    <xf numFmtId="49" fontId="9" fillId="0" borderId="23" xfId="0" applyNumberFormat="1" applyFont="1" applyFill="1" applyBorder="1" applyAlignment="1">
      <alignment horizontal="center" vertical="center"/>
    </xf>
    <xf numFmtId="49" fontId="9" fillId="0" borderId="43" xfId="0" applyNumberFormat="1" applyFont="1" applyFill="1" applyBorder="1" applyAlignment="1">
      <alignment horizontal="center" vertical="center"/>
    </xf>
    <xf numFmtId="49" fontId="9" fillId="0" borderId="44" xfId="0" applyNumberFormat="1" applyFont="1" applyFill="1" applyBorder="1" applyAlignment="1">
      <alignment horizontal="center" vertical="center"/>
    </xf>
    <xf numFmtId="49" fontId="16" fillId="0" borderId="34" xfId="0" applyNumberFormat="1" applyFont="1" applyFill="1" applyBorder="1" applyAlignment="1">
      <alignment horizontal="center" vertical="center"/>
    </xf>
    <xf numFmtId="49" fontId="16" fillId="0" borderId="82" xfId="0" applyNumberFormat="1" applyFont="1" applyFill="1" applyBorder="1" applyAlignment="1">
      <alignment horizontal="center" vertical="center"/>
    </xf>
    <xf numFmtId="49" fontId="9" fillId="0" borderId="46" xfId="0" applyNumberFormat="1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vertical="center"/>
    </xf>
    <xf numFmtId="49" fontId="9" fillId="0" borderId="12" xfId="0" applyNumberFormat="1" applyFont="1" applyFill="1" applyBorder="1" applyAlignment="1">
      <alignment horizontal="center" vertical="center"/>
    </xf>
    <xf numFmtId="49" fontId="9" fillId="0" borderId="7" xfId="0" applyNumberFormat="1" applyFont="1" applyFill="1" applyBorder="1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/>
    </xf>
    <xf numFmtId="49" fontId="9" fillId="0" borderId="47" xfId="0" applyNumberFormat="1" applyFont="1" applyFill="1" applyBorder="1" applyAlignment="1">
      <alignment horizontal="center" vertical="center"/>
    </xf>
    <xf numFmtId="49" fontId="14" fillId="6" borderId="21" xfId="0" applyNumberFormat="1" applyFont="1" applyFill="1" applyBorder="1" applyAlignment="1">
      <alignment horizontal="center" vertical="center" wrapText="1"/>
    </xf>
    <xf numFmtId="49" fontId="9" fillId="0" borderId="101" xfId="0" applyNumberFormat="1" applyFont="1" applyFill="1" applyBorder="1" applyAlignment="1">
      <alignment horizontal="center" vertical="center"/>
    </xf>
    <xf numFmtId="49" fontId="9" fillId="0" borderId="102" xfId="0" applyNumberFormat="1" applyFont="1" applyFill="1" applyBorder="1" applyAlignment="1">
      <alignment horizontal="center" vertical="center"/>
    </xf>
    <xf numFmtId="49" fontId="19" fillId="0" borderId="29" xfId="0" applyNumberFormat="1" applyFont="1" applyFill="1" applyBorder="1" applyAlignment="1">
      <alignment vertical="center" wrapText="1"/>
    </xf>
    <xf numFmtId="49" fontId="19" fillId="0" borderId="33" xfId="0" applyNumberFormat="1" applyFont="1" applyFill="1" applyBorder="1" applyAlignment="1">
      <alignment vertical="center" wrapText="1"/>
    </xf>
    <xf numFmtId="49" fontId="19" fillId="0" borderId="49" xfId="0" applyNumberFormat="1" applyFont="1" applyFill="1" applyBorder="1" applyAlignment="1">
      <alignment vertical="center" wrapText="1"/>
    </xf>
    <xf numFmtId="49" fontId="9" fillId="0" borderId="103" xfId="0" applyNumberFormat="1" applyFont="1" applyFill="1" applyBorder="1" applyAlignment="1">
      <alignment horizontal="center" vertical="center"/>
    </xf>
    <xf numFmtId="49" fontId="9" fillId="0" borderId="104" xfId="0" applyNumberFormat="1" applyFont="1" applyFill="1" applyBorder="1" applyAlignment="1">
      <alignment horizontal="center" vertical="center"/>
    </xf>
    <xf numFmtId="49" fontId="19" fillId="0" borderId="37" xfId="0" applyNumberFormat="1" applyFont="1" applyFill="1" applyBorder="1" applyAlignment="1">
      <alignment vertical="center" wrapText="1"/>
    </xf>
    <xf numFmtId="49" fontId="19" fillId="0" borderId="38" xfId="0" applyNumberFormat="1" applyFont="1" applyFill="1" applyBorder="1" applyAlignment="1">
      <alignment vertical="center" wrapText="1"/>
    </xf>
    <xf numFmtId="49" fontId="19" fillId="0" borderId="50" xfId="0" applyNumberFormat="1" applyFont="1" applyFill="1" applyBorder="1" applyAlignment="1">
      <alignment vertical="center" wrapText="1"/>
    </xf>
    <xf numFmtId="49" fontId="9" fillId="0" borderId="99" xfId="0" applyNumberFormat="1" applyFont="1" applyFill="1" applyBorder="1" applyAlignment="1">
      <alignment horizontal="center" vertical="center"/>
    </xf>
    <xf numFmtId="49" fontId="9" fillId="0" borderId="100" xfId="0" applyNumberFormat="1" applyFont="1" applyFill="1" applyBorder="1" applyAlignment="1">
      <alignment horizontal="center" vertical="center"/>
    </xf>
    <xf numFmtId="49" fontId="19" fillId="0" borderId="24" xfId="0" applyNumberFormat="1" applyFont="1" applyFill="1" applyBorder="1" applyAlignment="1">
      <alignment vertical="center" wrapText="1"/>
    </xf>
    <xf numFmtId="49" fontId="19" fillId="0" borderId="28" xfId="0" applyNumberFormat="1" applyFont="1" applyFill="1" applyBorder="1" applyAlignment="1">
      <alignment vertical="center" wrapText="1"/>
    </xf>
    <xf numFmtId="49" fontId="19" fillId="0" borderId="48" xfId="0" applyNumberFormat="1" applyFont="1" applyFill="1" applyBorder="1" applyAlignment="1">
      <alignment vertical="center" wrapText="1"/>
    </xf>
    <xf numFmtId="49" fontId="9" fillId="0" borderId="45" xfId="0" applyNumberFormat="1" applyFont="1" applyFill="1" applyBorder="1" applyAlignment="1">
      <alignment horizontal="center" vertical="center"/>
    </xf>
    <xf numFmtId="49" fontId="16" fillId="0" borderId="35" xfId="0" applyNumberFormat="1" applyFont="1" applyFill="1" applyBorder="1" applyAlignment="1">
      <alignment horizontal="center" vertical="center"/>
    </xf>
    <xf numFmtId="49" fontId="9" fillId="0" borderId="33" xfId="0" applyNumberFormat="1" applyFont="1" applyFill="1" applyBorder="1" applyAlignment="1">
      <alignment horizontal="center" vertical="center"/>
    </xf>
    <xf numFmtId="49" fontId="9" fillId="0" borderId="28" xfId="0" applyNumberFormat="1" applyFont="1" applyFill="1" applyBorder="1" applyAlignment="1">
      <alignment horizontal="center" vertical="center"/>
    </xf>
    <xf numFmtId="49" fontId="9" fillId="0" borderId="38" xfId="0" applyNumberFormat="1" applyFont="1" applyFill="1" applyBorder="1" applyAlignment="1">
      <alignment horizontal="center" vertical="center"/>
    </xf>
    <xf numFmtId="49" fontId="17" fillId="0" borderId="29" xfId="0" applyNumberFormat="1" applyFont="1" applyFill="1" applyBorder="1" applyAlignment="1">
      <alignment vertical="center"/>
    </xf>
    <xf numFmtId="49" fontId="17" fillId="0" borderId="33" xfId="0" applyNumberFormat="1" applyFont="1" applyFill="1" applyBorder="1" applyAlignment="1">
      <alignment vertical="center"/>
    </xf>
    <xf numFmtId="49" fontId="17" fillId="0" borderId="49" xfId="0" applyNumberFormat="1" applyFont="1" applyFill="1" applyBorder="1" applyAlignment="1">
      <alignment vertical="center"/>
    </xf>
    <xf numFmtId="49" fontId="17" fillId="0" borderId="24" xfId="0" applyNumberFormat="1" applyFont="1" applyFill="1" applyBorder="1" applyAlignment="1">
      <alignment vertical="center"/>
    </xf>
    <xf numFmtId="49" fontId="17" fillId="0" borderId="28" xfId="0" applyNumberFormat="1" applyFont="1" applyFill="1" applyBorder="1" applyAlignment="1">
      <alignment vertical="center"/>
    </xf>
    <xf numFmtId="49" fontId="17" fillId="0" borderId="48" xfId="0" applyNumberFormat="1" applyFont="1" applyFill="1" applyBorder="1" applyAlignment="1">
      <alignment vertical="center"/>
    </xf>
    <xf numFmtId="0" fontId="11" fillId="7" borderId="0" xfId="0" applyNumberFormat="1" applyFont="1" applyFill="1" applyAlignment="1">
      <alignment horizontal="center" vertical="center"/>
    </xf>
    <xf numFmtId="0" fontId="11" fillId="7" borderId="19" xfId="0" applyNumberFormat="1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49" fontId="29" fillId="6" borderId="21" xfId="0" applyNumberFormat="1" applyFont="1" applyFill="1" applyBorder="1" applyAlignment="1">
      <alignment horizontal="center" vertical="center"/>
    </xf>
    <xf numFmtId="49" fontId="9" fillId="0" borderId="74" xfId="0" applyNumberFormat="1" applyFont="1" applyFill="1" applyBorder="1" applyAlignment="1">
      <alignment vertical="center"/>
    </xf>
    <xf numFmtId="49" fontId="9" fillId="0" borderId="73" xfId="0" applyNumberFormat="1" applyFont="1" applyFill="1" applyBorder="1" applyAlignment="1">
      <alignment vertical="center"/>
    </xf>
    <xf numFmtId="49" fontId="9" fillId="0" borderId="75" xfId="0" applyNumberFormat="1" applyFont="1" applyFill="1" applyBorder="1" applyAlignment="1">
      <alignment vertical="center"/>
    </xf>
    <xf numFmtId="49" fontId="9" fillId="0" borderId="77" xfId="0" applyNumberFormat="1" applyFont="1" applyFill="1" applyBorder="1" applyAlignment="1">
      <alignment vertical="center"/>
    </xf>
    <xf numFmtId="49" fontId="9" fillId="0" borderId="76" xfId="0" applyNumberFormat="1" applyFont="1" applyFill="1" applyBorder="1" applyAlignment="1">
      <alignment vertical="center"/>
    </xf>
    <xf numFmtId="49" fontId="9" fillId="0" borderId="78" xfId="0" applyNumberFormat="1" applyFont="1" applyFill="1" applyBorder="1" applyAlignment="1">
      <alignment vertical="center"/>
    </xf>
    <xf numFmtId="49" fontId="8" fillId="0" borderId="39" xfId="0" applyNumberFormat="1" applyFont="1" applyFill="1" applyBorder="1" applyAlignment="1">
      <alignment horizontal="center" vertical="center"/>
    </xf>
    <xf numFmtId="49" fontId="8" fillId="0" borderId="36" xfId="0" applyNumberFormat="1" applyFont="1" applyFill="1" applyBorder="1" applyAlignment="1">
      <alignment horizontal="center" vertical="center"/>
    </xf>
    <xf numFmtId="0" fontId="16" fillId="0" borderId="74" xfId="0" applyNumberFormat="1" applyFont="1" applyFill="1" applyBorder="1" applyAlignment="1">
      <alignment horizontal="left" vertical="center"/>
    </xf>
    <xf numFmtId="0" fontId="16" fillId="0" borderId="73" xfId="0" applyNumberFormat="1" applyFont="1" applyFill="1" applyBorder="1" applyAlignment="1">
      <alignment horizontal="left" vertical="center"/>
    </xf>
    <xf numFmtId="0" fontId="16" fillId="0" borderId="75" xfId="0" applyNumberFormat="1" applyFont="1" applyFill="1" applyBorder="1" applyAlignment="1">
      <alignment horizontal="left" vertical="center"/>
    </xf>
    <xf numFmtId="49" fontId="17" fillId="0" borderId="37" xfId="0" applyNumberFormat="1" applyFont="1" applyFill="1" applyBorder="1" applyAlignment="1">
      <alignment vertical="center"/>
    </xf>
    <xf numFmtId="49" fontId="17" fillId="0" borderId="38" xfId="0" applyNumberFormat="1" applyFont="1" applyFill="1" applyBorder="1" applyAlignment="1">
      <alignment vertical="center"/>
    </xf>
    <xf numFmtId="49" fontId="17" fillId="0" borderId="50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center" vertical="center"/>
    </xf>
    <xf numFmtId="0" fontId="0" fillId="5" borderId="27" xfId="0" applyFill="1" applyBorder="1" applyAlignment="1">
      <alignment horizontal="center" vertical="center"/>
    </xf>
    <xf numFmtId="0" fontId="0" fillId="5" borderId="26" xfId="0" applyFill="1" applyBorder="1" applyAlignment="1">
      <alignment horizontal="center" vertical="center"/>
    </xf>
    <xf numFmtId="0" fontId="0" fillId="5" borderId="123" xfId="0" applyFill="1" applyBorder="1" applyAlignment="1">
      <alignment horizontal="center" vertical="center"/>
    </xf>
    <xf numFmtId="0" fontId="0" fillId="5" borderId="124" xfId="0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 wrapText="1"/>
    </xf>
    <xf numFmtId="0" fontId="0" fillId="5" borderId="26" xfId="0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/>
    </xf>
    <xf numFmtId="0" fontId="2" fillId="3" borderId="28" xfId="0" applyFont="1" applyFill="1" applyBorder="1" applyAlignment="1">
      <alignment horizontal="center"/>
    </xf>
    <xf numFmtId="0" fontId="2" fillId="3" borderId="54" xfId="0" applyFont="1" applyFill="1" applyBorder="1" applyAlignment="1">
      <alignment horizontal="center"/>
    </xf>
    <xf numFmtId="0" fontId="2" fillId="3" borderId="24" xfId="0" quotePrefix="1" applyFont="1" applyFill="1" applyBorder="1" applyAlignment="1">
      <alignment horizontal="center"/>
    </xf>
    <xf numFmtId="0" fontId="2" fillId="3" borderId="54" xfId="0" quotePrefix="1" applyFont="1" applyFill="1" applyBorder="1" applyAlignment="1">
      <alignment horizontal="center"/>
    </xf>
    <xf numFmtId="0" fontId="2" fillId="5" borderId="24" xfId="0" applyFont="1" applyFill="1" applyBorder="1" applyAlignment="1">
      <alignment horizontal="center"/>
    </xf>
    <xf numFmtId="0" fontId="2" fillId="5" borderId="28" xfId="0" applyFont="1" applyFill="1" applyBorder="1" applyAlignment="1">
      <alignment horizontal="center"/>
    </xf>
    <xf numFmtId="0" fontId="2" fillId="5" borderId="54" xfId="0" applyFont="1" applyFill="1" applyBorder="1" applyAlignment="1">
      <alignment horizontal="center"/>
    </xf>
    <xf numFmtId="0" fontId="45" fillId="7" borderId="0" xfId="0" applyFont="1" applyFill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49" fontId="16" fillId="0" borderId="28" xfId="0" applyNumberFormat="1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30" fillId="0" borderId="16" xfId="0" applyFont="1" applyFill="1" applyBorder="1" applyAlignment="1">
      <alignment horizontal="left" vertical="center"/>
    </xf>
    <xf numFmtId="0" fontId="30" fillId="0" borderId="18" xfId="0" applyFont="1" applyFill="1" applyBorder="1" applyAlignment="1">
      <alignment horizontal="left" vertical="center"/>
    </xf>
    <xf numFmtId="0" fontId="33" fillId="0" borderId="16" xfId="0" applyFont="1" applyBorder="1" applyAlignment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21" fontId="0" fillId="10" borderId="32" xfId="0" applyNumberFormat="1" applyFill="1" applyBorder="1" applyAlignment="1">
      <alignment horizontal="center"/>
    </xf>
    <xf numFmtId="20" fontId="0" fillId="10" borderId="32" xfId="0" applyNumberFormat="1" applyFill="1" applyBorder="1" applyAlignment="1">
      <alignment horizontal="center"/>
    </xf>
    <xf numFmtId="0" fontId="0" fillId="10" borderId="70" xfId="0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6600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22.png"/><Relationship Id="rId2" Type="http://schemas.openxmlformats.org/officeDocument/2006/relationships/image" Target="../media/image11.png"/><Relationship Id="rId1" Type="http://schemas.openxmlformats.org/officeDocument/2006/relationships/image" Target="../media/image8.png"/><Relationship Id="rId6" Type="http://schemas.openxmlformats.org/officeDocument/2006/relationships/image" Target="../media/image14.png"/><Relationship Id="rId5" Type="http://schemas.openxmlformats.org/officeDocument/2006/relationships/image" Target="../media/image21.png"/><Relationship Id="rId4" Type="http://schemas.openxmlformats.org/officeDocument/2006/relationships/image" Target="../media/image1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4" Type="http://schemas.openxmlformats.org/officeDocument/2006/relationships/image" Target="../media/image11.png"/><Relationship Id="rId9" Type="http://schemas.openxmlformats.org/officeDocument/2006/relationships/image" Target="../media/image16.gi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8.jpeg"/><Relationship Id="rId7" Type="http://schemas.openxmlformats.org/officeDocument/2006/relationships/image" Target="../media/image9.png"/><Relationship Id="rId2" Type="http://schemas.openxmlformats.org/officeDocument/2006/relationships/image" Target="../media/image11.png"/><Relationship Id="rId1" Type="http://schemas.openxmlformats.org/officeDocument/2006/relationships/image" Target="../media/image17.png"/><Relationship Id="rId6" Type="http://schemas.openxmlformats.org/officeDocument/2006/relationships/image" Target="../media/image10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22.png"/><Relationship Id="rId2" Type="http://schemas.openxmlformats.org/officeDocument/2006/relationships/image" Target="../media/image11.png"/><Relationship Id="rId1" Type="http://schemas.openxmlformats.org/officeDocument/2006/relationships/image" Target="../media/image8.png"/><Relationship Id="rId6" Type="http://schemas.openxmlformats.org/officeDocument/2006/relationships/image" Target="../media/image14.png"/><Relationship Id="rId5" Type="http://schemas.openxmlformats.org/officeDocument/2006/relationships/image" Target="../media/image21.png"/><Relationship Id="rId4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9.png"/><Relationship Id="rId7" Type="http://schemas.openxmlformats.org/officeDocument/2006/relationships/image" Target="../media/image14.png"/><Relationship Id="rId2" Type="http://schemas.openxmlformats.org/officeDocument/2006/relationships/image" Target="../media/image10.png"/><Relationship Id="rId1" Type="http://schemas.openxmlformats.org/officeDocument/2006/relationships/image" Target="../media/image11.png"/><Relationship Id="rId6" Type="http://schemas.openxmlformats.org/officeDocument/2006/relationships/image" Target="../media/image16.gif"/><Relationship Id="rId5" Type="http://schemas.openxmlformats.org/officeDocument/2006/relationships/image" Target="../media/image13.png"/><Relationship Id="rId4" Type="http://schemas.openxmlformats.org/officeDocument/2006/relationships/image" Target="../media/image12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0.png"/><Relationship Id="rId1" Type="http://schemas.openxmlformats.org/officeDocument/2006/relationships/image" Target="../media/image11.png"/><Relationship Id="rId6" Type="http://schemas.openxmlformats.org/officeDocument/2006/relationships/image" Target="../media/image22.png"/><Relationship Id="rId5" Type="http://schemas.openxmlformats.org/officeDocument/2006/relationships/image" Target="../media/image14.png"/><Relationship Id="rId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4" Type="http://schemas.openxmlformats.org/officeDocument/2006/relationships/image" Target="../media/image11.png"/><Relationship Id="rId9" Type="http://schemas.openxmlformats.org/officeDocument/2006/relationships/image" Target="../media/image16.gi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8.jpeg"/><Relationship Id="rId7" Type="http://schemas.openxmlformats.org/officeDocument/2006/relationships/image" Target="../media/image9.png"/><Relationship Id="rId2" Type="http://schemas.openxmlformats.org/officeDocument/2006/relationships/image" Target="../media/image11.png"/><Relationship Id="rId1" Type="http://schemas.openxmlformats.org/officeDocument/2006/relationships/image" Target="../media/image17.png"/><Relationship Id="rId6" Type="http://schemas.openxmlformats.org/officeDocument/2006/relationships/image" Target="../media/image10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5043</xdr:rowOff>
    </xdr:from>
    <xdr:to>
      <xdr:col>2</xdr:col>
      <xdr:colOff>434894</xdr:colOff>
      <xdr:row>2</xdr:row>
      <xdr:rowOff>213238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5043"/>
          <a:ext cx="1217625" cy="646345"/>
        </a:xfrm>
        <a:prstGeom prst="rect">
          <a:avLst/>
        </a:prstGeom>
      </xdr:spPr>
    </xdr:pic>
    <xdr:clientData/>
  </xdr:twoCellAnchor>
  <xdr:twoCellAnchor>
    <xdr:from>
      <xdr:col>4</xdr:col>
      <xdr:colOff>118562</xdr:colOff>
      <xdr:row>4</xdr:row>
      <xdr:rowOff>1778533</xdr:rowOff>
    </xdr:from>
    <xdr:to>
      <xdr:col>4</xdr:col>
      <xdr:colOff>540063</xdr:colOff>
      <xdr:row>4</xdr:row>
      <xdr:rowOff>2921533</xdr:rowOff>
    </xdr:to>
    <xdr:sp macro="" textlink="">
      <xdr:nvSpPr>
        <xdr:cNvPr id="115" name="Полилиния 114"/>
        <xdr:cNvSpPr/>
      </xdr:nvSpPr>
      <xdr:spPr>
        <a:xfrm>
          <a:off x="3248205" y="2649390"/>
          <a:ext cx="421501" cy="1143000"/>
        </a:xfrm>
        <a:custGeom>
          <a:avLst/>
          <a:gdLst>
            <a:gd name="connsiteX0" fmla="*/ 324971 w 414618"/>
            <a:gd name="connsiteY0" fmla="*/ 112059 h 1143000"/>
            <a:gd name="connsiteX1" fmla="*/ 0 w 414618"/>
            <a:gd name="connsiteY1" fmla="*/ 392206 h 1143000"/>
            <a:gd name="connsiteX2" fmla="*/ 0 w 414618"/>
            <a:gd name="connsiteY2" fmla="*/ 874059 h 1143000"/>
            <a:gd name="connsiteX3" fmla="*/ 224118 w 414618"/>
            <a:gd name="connsiteY3" fmla="*/ 1143000 h 1143000"/>
            <a:gd name="connsiteX4" fmla="*/ 414618 w 414618"/>
            <a:gd name="connsiteY4" fmla="*/ 1008529 h 1143000"/>
            <a:gd name="connsiteX5" fmla="*/ 414618 w 414618"/>
            <a:gd name="connsiteY5" fmla="*/ 0 h 1143000"/>
            <a:gd name="connsiteX6" fmla="*/ 324971 w 414618"/>
            <a:gd name="connsiteY6" fmla="*/ 112059 h 1143000"/>
            <a:gd name="connsiteX0" fmla="*/ 414618 w 414618"/>
            <a:gd name="connsiteY0" fmla="*/ 0 h 1143000"/>
            <a:gd name="connsiteX1" fmla="*/ 0 w 414618"/>
            <a:gd name="connsiteY1" fmla="*/ 392206 h 1143000"/>
            <a:gd name="connsiteX2" fmla="*/ 0 w 414618"/>
            <a:gd name="connsiteY2" fmla="*/ 874059 h 1143000"/>
            <a:gd name="connsiteX3" fmla="*/ 224118 w 414618"/>
            <a:gd name="connsiteY3" fmla="*/ 1143000 h 1143000"/>
            <a:gd name="connsiteX4" fmla="*/ 414618 w 414618"/>
            <a:gd name="connsiteY4" fmla="*/ 1008529 h 1143000"/>
            <a:gd name="connsiteX5" fmla="*/ 414618 w 414618"/>
            <a:gd name="connsiteY5" fmla="*/ 0 h 1143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14618" h="1143000">
              <a:moveTo>
                <a:pt x="414618" y="0"/>
              </a:moveTo>
              <a:lnTo>
                <a:pt x="0" y="392206"/>
              </a:lnTo>
              <a:lnTo>
                <a:pt x="0" y="874059"/>
              </a:lnTo>
              <a:lnTo>
                <a:pt x="224118" y="1143000"/>
              </a:lnTo>
              <a:lnTo>
                <a:pt x="414618" y="1008529"/>
              </a:lnTo>
              <a:lnTo>
                <a:pt x="414618" y="0"/>
              </a:lnTo>
              <a:close/>
            </a:path>
          </a:pathLst>
        </a:custGeom>
        <a:solidFill>
          <a:schemeClr val="bg1">
            <a:lumMod val="8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495625</xdr:colOff>
      <xdr:row>5</xdr:row>
      <xdr:rowOff>447074</xdr:rowOff>
    </xdr:from>
    <xdr:to>
      <xdr:col>3</xdr:col>
      <xdr:colOff>1015924</xdr:colOff>
      <xdr:row>5</xdr:row>
      <xdr:rowOff>967373</xdr:rowOff>
    </xdr:to>
    <xdr:sp macro="" textlink="">
      <xdr:nvSpPr>
        <xdr:cNvPr id="61" name="Овал 60"/>
        <xdr:cNvSpPr/>
      </xdr:nvSpPr>
      <xdr:spPr>
        <a:xfrm>
          <a:off x="2046839" y="5889931"/>
          <a:ext cx="520299" cy="520299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162186</xdr:colOff>
      <xdr:row>4</xdr:row>
      <xdr:rowOff>1443090</xdr:rowOff>
    </xdr:from>
    <xdr:to>
      <xdr:col>4</xdr:col>
      <xdr:colOff>306481</xdr:colOff>
      <xdr:row>4</xdr:row>
      <xdr:rowOff>1586971</xdr:rowOff>
    </xdr:to>
    <xdr:sp macro="" textlink="">
      <xdr:nvSpPr>
        <xdr:cNvPr id="85" name="Овал 8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3291829" y="2313947"/>
          <a:ext cx="144295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881628</xdr:colOff>
      <xdr:row>4</xdr:row>
      <xdr:rowOff>347740</xdr:rowOff>
    </xdr:from>
    <xdr:to>
      <xdr:col>5</xdr:col>
      <xdr:colOff>776582</xdr:colOff>
      <xdr:row>4</xdr:row>
      <xdr:rowOff>2331139</xdr:rowOff>
    </xdr:to>
    <xdr:sp macro="" textlink="">
      <xdr:nvSpPr>
        <xdr:cNvPr id="88" name="TextBox 87"/>
        <xdr:cNvSpPr txBox="1"/>
      </xdr:nvSpPr>
      <xdr:spPr>
        <a:xfrm>
          <a:off x="4011271" y="1218597"/>
          <a:ext cx="1282882" cy="1983399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000" b="1"/>
            <a:t>Точка сбора "Восточная"</a:t>
          </a:r>
        </a:p>
        <a:p>
          <a:pPr algn="l"/>
          <a:endParaRPr lang="ru-RU" sz="1000" b="1"/>
        </a:p>
        <a:p>
          <a:pPr algn="l"/>
          <a:r>
            <a:rPr lang="ru-RU" sz="1000" b="1"/>
            <a:t>Парковка возле магазина "Микей",</a:t>
          </a:r>
          <a:r>
            <a:rPr lang="ru-RU" sz="1000" b="1" baseline="0"/>
            <a:t> ул. Рыленкова, 63</a:t>
          </a:r>
          <a:endParaRPr lang="ru-RU" sz="1000" b="1"/>
        </a:p>
        <a:p>
          <a:pPr algn="l"/>
          <a:endParaRPr lang="ru-RU" sz="1000" b="1"/>
        </a:p>
        <a:p>
          <a:pPr fontAlgn="base"/>
          <a:r>
            <a:rPr lang="en-US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54.757977</a:t>
          </a:r>
          <a:r>
            <a:rPr lang="ru-RU" sz="10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32.104259</a:t>
          </a:r>
          <a:endParaRPr lang="ru-RU" sz="10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10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54°45'28.7"N 32°06'15.3"E</a:t>
          </a:r>
        </a:p>
      </xdr:txBody>
    </xdr:sp>
    <xdr:clientData/>
  </xdr:twoCellAnchor>
  <xdr:twoCellAnchor>
    <xdr:from>
      <xdr:col>3</xdr:col>
      <xdr:colOff>852032</xdr:colOff>
      <xdr:row>4</xdr:row>
      <xdr:rowOff>482620</xdr:rowOff>
    </xdr:from>
    <xdr:to>
      <xdr:col>3</xdr:col>
      <xdr:colOff>1143816</xdr:colOff>
      <xdr:row>4</xdr:row>
      <xdr:rowOff>2007133</xdr:rowOff>
    </xdr:to>
    <xdr:sp macro="" textlink="">
      <xdr:nvSpPr>
        <xdr:cNvPr id="90" name="Прямоугольник 89"/>
        <xdr:cNvSpPr/>
      </xdr:nvSpPr>
      <xdr:spPr>
        <a:xfrm rot="16200000">
          <a:off x="1786881" y="1969842"/>
          <a:ext cx="1524513" cy="291784"/>
        </a:xfrm>
        <a:prstGeom prst="rect">
          <a:avLst/>
        </a:prstGeom>
        <a:noFill/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0">
              <a:solidFill>
                <a:sysClr val="windowText" lastClr="000000"/>
              </a:solidFill>
            </a:rPr>
            <a:t>ул. Рыленкова</a:t>
          </a:r>
        </a:p>
      </xdr:txBody>
    </xdr:sp>
    <xdr:clientData/>
  </xdr:twoCellAnchor>
  <xdr:twoCellAnchor>
    <xdr:from>
      <xdr:col>4</xdr:col>
      <xdr:colOff>363001</xdr:colOff>
      <xdr:row>4</xdr:row>
      <xdr:rowOff>1063486</xdr:rowOff>
    </xdr:from>
    <xdr:to>
      <xdr:col>4</xdr:col>
      <xdr:colOff>883957</xdr:colOff>
      <xdr:row>4</xdr:row>
      <xdr:rowOff>1483296</xdr:rowOff>
    </xdr:to>
    <xdr:sp macro="" textlink="">
      <xdr:nvSpPr>
        <xdr:cNvPr id="91" name="Полилиния 90"/>
        <xdr:cNvSpPr/>
      </xdr:nvSpPr>
      <xdr:spPr>
        <a:xfrm>
          <a:off x="3492644" y="1934343"/>
          <a:ext cx="520956" cy="419810"/>
        </a:xfrm>
        <a:custGeom>
          <a:avLst/>
          <a:gdLst>
            <a:gd name="connsiteX0" fmla="*/ 343580 w 343580"/>
            <a:gd name="connsiteY0" fmla="*/ 0 h 496660"/>
            <a:gd name="connsiteX1" fmla="*/ 0 w 343580"/>
            <a:gd name="connsiteY1" fmla="*/ 496660 h 496660"/>
            <a:gd name="connsiteX2" fmla="*/ 340178 w 343580"/>
            <a:gd name="connsiteY2" fmla="*/ 425223 h 496660"/>
            <a:gd name="connsiteX3" fmla="*/ 343580 w 343580"/>
            <a:gd name="connsiteY3" fmla="*/ 0 h 496660"/>
            <a:gd name="connsiteX0" fmla="*/ 343580 w 343580"/>
            <a:gd name="connsiteY0" fmla="*/ 0 h 541981"/>
            <a:gd name="connsiteX1" fmla="*/ 0 w 343580"/>
            <a:gd name="connsiteY1" fmla="*/ 496660 h 541981"/>
            <a:gd name="connsiteX2" fmla="*/ 278726 w 343580"/>
            <a:gd name="connsiteY2" fmla="*/ 541981 h 541981"/>
            <a:gd name="connsiteX3" fmla="*/ 343580 w 343580"/>
            <a:gd name="connsiteY3" fmla="*/ 0 h 541981"/>
            <a:gd name="connsiteX0" fmla="*/ 349725 w 349725"/>
            <a:gd name="connsiteY0" fmla="*/ 0 h 581924"/>
            <a:gd name="connsiteX1" fmla="*/ 0 w 349725"/>
            <a:gd name="connsiteY1" fmla="*/ 536603 h 581924"/>
            <a:gd name="connsiteX2" fmla="*/ 278726 w 349725"/>
            <a:gd name="connsiteY2" fmla="*/ 581924 h 581924"/>
            <a:gd name="connsiteX3" fmla="*/ 349725 w 349725"/>
            <a:gd name="connsiteY3" fmla="*/ 0 h 581924"/>
            <a:gd name="connsiteX0" fmla="*/ 349725 w 349725"/>
            <a:gd name="connsiteY0" fmla="*/ 0 h 536603"/>
            <a:gd name="connsiteX1" fmla="*/ 0 w 349725"/>
            <a:gd name="connsiteY1" fmla="*/ 536603 h 536603"/>
            <a:gd name="connsiteX2" fmla="*/ 343250 w 349725"/>
            <a:gd name="connsiteY2" fmla="*/ 480529 h 536603"/>
            <a:gd name="connsiteX3" fmla="*/ 349725 w 349725"/>
            <a:gd name="connsiteY3" fmla="*/ 0 h 536603"/>
            <a:gd name="connsiteX0" fmla="*/ 349725 w 349725"/>
            <a:gd name="connsiteY0" fmla="*/ 0 h 374678"/>
            <a:gd name="connsiteX1" fmla="*/ 0 w 349725"/>
            <a:gd name="connsiteY1" fmla="*/ 374678 h 374678"/>
            <a:gd name="connsiteX2" fmla="*/ 343250 w 349725"/>
            <a:gd name="connsiteY2" fmla="*/ 318604 h 374678"/>
            <a:gd name="connsiteX3" fmla="*/ 349725 w 349725"/>
            <a:gd name="connsiteY3" fmla="*/ 0 h 374678"/>
            <a:gd name="connsiteX0" fmla="*/ 420242 w 420242"/>
            <a:gd name="connsiteY0" fmla="*/ 0 h 365208"/>
            <a:gd name="connsiteX1" fmla="*/ 0 w 420242"/>
            <a:gd name="connsiteY1" fmla="*/ 365208 h 365208"/>
            <a:gd name="connsiteX2" fmla="*/ 413767 w 420242"/>
            <a:gd name="connsiteY2" fmla="*/ 318604 h 365208"/>
            <a:gd name="connsiteX3" fmla="*/ 420242 w 420242"/>
            <a:gd name="connsiteY3" fmla="*/ 0 h 3652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20242" h="365208">
              <a:moveTo>
                <a:pt x="420242" y="0"/>
              </a:moveTo>
              <a:lnTo>
                <a:pt x="0" y="365208"/>
              </a:lnTo>
              <a:cubicBezTo>
                <a:pt x="114417" y="346517"/>
                <a:pt x="299350" y="337295"/>
                <a:pt x="413767" y="318604"/>
              </a:cubicBezTo>
              <a:cubicBezTo>
                <a:pt x="415925" y="158428"/>
                <a:pt x="418084" y="160176"/>
                <a:pt x="420242" y="0"/>
              </a:cubicBezTo>
              <a:close/>
            </a:path>
          </a:pathLst>
        </a:cu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226872</xdr:colOff>
      <xdr:row>4</xdr:row>
      <xdr:rowOff>2114110</xdr:rowOff>
    </xdr:from>
    <xdr:ext cx="248851" cy="567463"/>
    <xdr:sp macro="" textlink="">
      <xdr:nvSpPr>
        <xdr:cNvPr id="110" name="TextBox 109"/>
        <xdr:cNvSpPr txBox="1"/>
      </xdr:nvSpPr>
      <xdr:spPr>
        <a:xfrm rot="16200000">
          <a:off x="3188835" y="3152647"/>
          <a:ext cx="567463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 b="1">
              <a:solidFill>
                <a:sysClr val="windowText" lastClr="000000"/>
              </a:solidFill>
            </a:rPr>
            <a:t>Микей</a:t>
          </a:r>
        </a:p>
      </xdr:txBody>
    </xdr:sp>
    <xdr:clientData/>
  </xdr:oneCellAnchor>
  <xdr:twoCellAnchor>
    <xdr:from>
      <xdr:col>3</xdr:col>
      <xdr:colOff>1405048</xdr:colOff>
      <xdr:row>4</xdr:row>
      <xdr:rowOff>90926</xdr:rowOff>
    </xdr:from>
    <xdr:to>
      <xdr:col>4</xdr:col>
      <xdr:colOff>522134</xdr:colOff>
      <xdr:row>4</xdr:row>
      <xdr:rowOff>2900401</xdr:rowOff>
    </xdr:to>
    <xdr:sp macro="" textlink="">
      <xdr:nvSpPr>
        <xdr:cNvPr id="112" name="Полилиния 111"/>
        <xdr:cNvSpPr/>
      </xdr:nvSpPr>
      <xdr:spPr>
        <a:xfrm>
          <a:off x="2948098" y="967226"/>
          <a:ext cx="698236" cy="2809475"/>
        </a:xfrm>
        <a:custGeom>
          <a:avLst/>
          <a:gdLst>
            <a:gd name="connsiteX0" fmla="*/ 0 w 694765"/>
            <a:gd name="connsiteY0" fmla="*/ 2891118 h 2891118"/>
            <a:gd name="connsiteX1" fmla="*/ 0 w 694765"/>
            <a:gd name="connsiteY1" fmla="*/ 2061883 h 2891118"/>
            <a:gd name="connsiteX2" fmla="*/ 694765 w 694765"/>
            <a:gd name="connsiteY2" fmla="*/ 1479177 h 2891118"/>
            <a:gd name="connsiteX3" fmla="*/ 11206 w 694765"/>
            <a:gd name="connsiteY3" fmla="*/ 795618 h 2891118"/>
            <a:gd name="connsiteX4" fmla="*/ 11206 w 694765"/>
            <a:gd name="connsiteY4" fmla="*/ 0 h 2891118"/>
            <a:gd name="connsiteX0" fmla="*/ 0 w 694765"/>
            <a:gd name="connsiteY0" fmla="*/ 2809475 h 2809475"/>
            <a:gd name="connsiteX1" fmla="*/ 0 w 694765"/>
            <a:gd name="connsiteY1" fmla="*/ 2061883 h 2809475"/>
            <a:gd name="connsiteX2" fmla="*/ 694765 w 694765"/>
            <a:gd name="connsiteY2" fmla="*/ 1479177 h 2809475"/>
            <a:gd name="connsiteX3" fmla="*/ 11206 w 694765"/>
            <a:gd name="connsiteY3" fmla="*/ 795618 h 2809475"/>
            <a:gd name="connsiteX4" fmla="*/ 11206 w 694765"/>
            <a:gd name="connsiteY4" fmla="*/ 0 h 28094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94765" h="2809475">
              <a:moveTo>
                <a:pt x="0" y="2809475"/>
              </a:moveTo>
              <a:lnTo>
                <a:pt x="0" y="2061883"/>
              </a:lnTo>
              <a:lnTo>
                <a:pt x="694765" y="1479177"/>
              </a:lnTo>
              <a:lnTo>
                <a:pt x="11206" y="795618"/>
              </a:lnTo>
              <a:lnTo>
                <a:pt x="11206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1225754</xdr:colOff>
      <xdr:row>4</xdr:row>
      <xdr:rowOff>102133</xdr:rowOff>
    </xdr:from>
    <xdr:to>
      <xdr:col>4</xdr:col>
      <xdr:colOff>241987</xdr:colOff>
      <xdr:row>4</xdr:row>
      <xdr:rowOff>1525280</xdr:rowOff>
    </xdr:to>
    <xdr:sp macro="" textlink="">
      <xdr:nvSpPr>
        <xdr:cNvPr id="113" name="Полилиния 112"/>
        <xdr:cNvSpPr/>
      </xdr:nvSpPr>
      <xdr:spPr>
        <a:xfrm>
          <a:off x="2776968" y="972990"/>
          <a:ext cx="594662" cy="1423147"/>
        </a:xfrm>
        <a:custGeom>
          <a:avLst/>
          <a:gdLst>
            <a:gd name="connsiteX0" fmla="*/ 593912 w 593912"/>
            <a:gd name="connsiteY0" fmla="*/ 1423147 h 1423147"/>
            <a:gd name="connsiteX1" fmla="*/ 0 w 593912"/>
            <a:gd name="connsiteY1" fmla="*/ 829235 h 1423147"/>
            <a:gd name="connsiteX2" fmla="*/ 0 w 593912"/>
            <a:gd name="connsiteY2" fmla="*/ 0 h 14231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3912" h="1423147">
              <a:moveTo>
                <a:pt x="593912" y="1423147"/>
              </a:moveTo>
              <a:lnTo>
                <a:pt x="0" y="829235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147380</xdr:colOff>
      <xdr:row>4</xdr:row>
      <xdr:rowOff>81268</xdr:rowOff>
    </xdr:from>
    <xdr:to>
      <xdr:col>3</xdr:col>
      <xdr:colOff>826705</xdr:colOff>
      <xdr:row>4</xdr:row>
      <xdr:rowOff>2288440</xdr:rowOff>
    </xdr:to>
    <xdr:sp macro="" textlink="">
      <xdr:nvSpPr>
        <xdr:cNvPr id="116" name="Полилиния 115"/>
        <xdr:cNvSpPr/>
      </xdr:nvSpPr>
      <xdr:spPr>
        <a:xfrm>
          <a:off x="1698594" y="952125"/>
          <a:ext cx="679325" cy="2207172"/>
        </a:xfrm>
        <a:custGeom>
          <a:avLst/>
          <a:gdLst>
            <a:gd name="connsiteX0" fmla="*/ 676603 w 676603"/>
            <a:gd name="connsiteY0" fmla="*/ 0 h 2207172"/>
            <a:gd name="connsiteX1" fmla="*/ 676603 w 676603"/>
            <a:gd name="connsiteY1" fmla="*/ 2207172 h 2207172"/>
            <a:gd name="connsiteX2" fmla="*/ 0 w 676603"/>
            <a:gd name="connsiteY2" fmla="*/ 2207172 h 22071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6603" h="2207172">
              <a:moveTo>
                <a:pt x="676603" y="0"/>
              </a:moveTo>
              <a:lnTo>
                <a:pt x="676603" y="2207172"/>
              </a:lnTo>
              <a:lnTo>
                <a:pt x="0" y="2207172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140154</xdr:colOff>
      <xdr:row>4</xdr:row>
      <xdr:rowOff>2467247</xdr:rowOff>
    </xdr:from>
    <xdr:to>
      <xdr:col>3</xdr:col>
      <xdr:colOff>832486</xdr:colOff>
      <xdr:row>4</xdr:row>
      <xdr:rowOff>2901587</xdr:rowOff>
    </xdr:to>
    <xdr:sp macro="" textlink="">
      <xdr:nvSpPr>
        <xdr:cNvPr id="118" name="Полилиния 117"/>
        <xdr:cNvSpPr/>
      </xdr:nvSpPr>
      <xdr:spPr>
        <a:xfrm>
          <a:off x="1691368" y="3338104"/>
          <a:ext cx="692332" cy="434340"/>
        </a:xfrm>
        <a:custGeom>
          <a:avLst/>
          <a:gdLst>
            <a:gd name="connsiteX0" fmla="*/ 0 w 689610"/>
            <a:gd name="connsiteY0" fmla="*/ 0 h 434340"/>
            <a:gd name="connsiteX1" fmla="*/ 689610 w 689610"/>
            <a:gd name="connsiteY1" fmla="*/ 0 h 434340"/>
            <a:gd name="connsiteX2" fmla="*/ 689610 w 689610"/>
            <a:gd name="connsiteY2" fmla="*/ 434340 h 4343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89610" h="434340">
              <a:moveTo>
                <a:pt x="0" y="0"/>
              </a:moveTo>
              <a:lnTo>
                <a:pt x="689610" y="0"/>
              </a:lnTo>
              <a:lnTo>
                <a:pt x="689610" y="43434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139454</xdr:colOff>
      <xdr:row>5</xdr:row>
      <xdr:rowOff>302366</xdr:rowOff>
    </xdr:from>
    <xdr:to>
      <xdr:col>3</xdr:col>
      <xdr:colOff>1489453</xdr:colOff>
      <xdr:row>5</xdr:row>
      <xdr:rowOff>598713</xdr:rowOff>
    </xdr:to>
    <xdr:cxnSp macro="">
      <xdr:nvCxnSpPr>
        <xdr:cNvPr id="125" name="Прямая соединительная линия 124"/>
        <xdr:cNvCxnSpPr/>
      </xdr:nvCxnSpPr>
      <xdr:spPr>
        <a:xfrm flipH="1" flipV="1">
          <a:off x="1690668" y="5745223"/>
          <a:ext cx="1349999" cy="296347"/>
        </a:xfrm>
        <a:prstGeom prst="line">
          <a:avLst/>
        </a:prstGeom>
        <a:ln w="19050">
          <a:solidFill>
            <a:schemeClr val="tx1"/>
          </a:solidFill>
          <a:headEnd type="triangle" w="med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104309</xdr:colOff>
      <xdr:row>5</xdr:row>
      <xdr:rowOff>70756</xdr:rowOff>
    </xdr:from>
    <xdr:to>
      <xdr:col>3</xdr:col>
      <xdr:colOff>769975</xdr:colOff>
      <xdr:row>5</xdr:row>
      <xdr:rowOff>671476</xdr:rowOff>
    </xdr:to>
    <xdr:sp macro="" textlink="">
      <xdr:nvSpPr>
        <xdr:cNvPr id="109" name="Полилиния 108"/>
        <xdr:cNvSpPr/>
      </xdr:nvSpPr>
      <xdr:spPr>
        <a:xfrm>
          <a:off x="1652122" y="3999819"/>
          <a:ext cx="665666" cy="600720"/>
        </a:xfrm>
        <a:custGeom>
          <a:avLst/>
          <a:gdLst>
            <a:gd name="connsiteX0" fmla="*/ 625928 w 625928"/>
            <a:gd name="connsiteY0" fmla="*/ 0 h 602852"/>
            <a:gd name="connsiteX1" fmla="*/ 538843 w 625928"/>
            <a:gd name="connsiteY1" fmla="*/ 304800 h 602852"/>
            <a:gd name="connsiteX2" fmla="*/ 375557 w 625928"/>
            <a:gd name="connsiteY2" fmla="*/ 473529 h 602852"/>
            <a:gd name="connsiteX3" fmla="*/ 304800 w 625928"/>
            <a:gd name="connsiteY3" fmla="*/ 598715 h 602852"/>
            <a:gd name="connsiteX4" fmla="*/ 0 w 625928"/>
            <a:gd name="connsiteY4" fmla="*/ 560615 h 602852"/>
            <a:gd name="connsiteX0" fmla="*/ 625928 w 625928"/>
            <a:gd name="connsiteY0" fmla="*/ 0 h 602115"/>
            <a:gd name="connsiteX1" fmla="*/ 538843 w 625928"/>
            <a:gd name="connsiteY1" fmla="*/ 304800 h 602115"/>
            <a:gd name="connsiteX2" fmla="*/ 375557 w 625928"/>
            <a:gd name="connsiteY2" fmla="*/ 473529 h 602115"/>
            <a:gd name="connsiteX3" fmla="*/ 304800 w 625928"/>
            <a:gd name="connsiteY3" fmla="*/ 598715 h 602115"/>
            <a:gd name="connsiteX4" fmla="*/ 0 w 625928"/>
            <a:gd name="connsiteY4" fmla="*/ 560615 h 602115"/>
            <a:gd name="connsiteX0" fmla="*/ 625928 w 625928"/>
            <a:gd name="connsiteY0" fmla="*/ 0 h 603207"/>
            <a:gd name="connsiteX1" fmla="*/ 538843 w 625928"/>
            <a:gd name="connsiteY1" fmla="*/ 304800 h 603207"/>
            <a:gd name="connsiteX2" fmla="*/ 403435 w 625928"/>
            <a:gd name="connsiteY2" fmla="*/ 454944 h 603207"/>
            <a:gd name="connsiteX3" fmla="*/ 304800 w 625928"/>
            <a:gd name="connsiteY3" fmla="*/ 598715 h 603207"/>
            <a:gd name="connsiteX4" fmla="*/ 0 w 625928"/>
            <a:gd name="connsiteY4" fmla="*/ 560615 h 603207"/>
            <a:gd name="connsiteX0" fmla="*/ 630574 w 630574"/>
            <a:gd name="connsiteY0" fmla="*/ 0 h 602040"/>
            <a:gd name="connsiteX1" fmla="*/ 543489 w 630574"/>
            <a:gd name="connsiteY1" fmla="*/ 304800 h 602040"/>
            <a:gd name="connsiteX2" fmla="*/ 408081 w 630574"/>
            <a:gd name="connsiteY2" fmla="*/ 454944 h 602040"/>
            <a:gd name="connsiteX3" fmla="*/ 309446 w 630574"/>
            <a:gd name="connsiteY3" fmla="*/ 598715 h 602040"/>
            <a:gd name="connsiteX4" fmla="*/ 0 w 630574"/>
            <a:gd name="connsiteY4" fmla="*/ 551322 h 602040"/>
            <a:gd name="connsiteX0" fmla="*/ 665666 w 665666"/>
            <a:gd name="connsiteY0" fmla="*/ 0 h 600720"/>
            <a:gd name="connsiteX1" fmla="*/ 578581 w 665666"/>
            <a:gd name="connsiteY1" fmla="*/ 304800 h 600720"/>
            <a:gd name="connsiteX2" fmla="*/ 443173 w 665666"/>
            <a:gd name="connsiteY2" fmla="*/ 454944 h 600720"/>
            <a:gd name="connsiteX3" fmla="*/ 344538 w 665666"/>
            <a:gd name="connsiteY3" fmla="*/ 598715 h 600720"/>
            <a:gd name="connsiteX4" fmla="*/ 0 w 665666"/>
            <a:gd name="connsiteY4" fmla="*/ 536282 h 6007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65666" h="600720">
              <a:moveTo>
                <a:pt x="665666" y="0"/>
              </a:moveTo>
              <a:cubicBezTo>
                <a:pt x="642987" y="112939"/>
                <a:pt x="615663" y="228976"/>
                <a:pt x="578581" y="304800"/>
              </a:cubicBezTo>
              <a:cubicBezTo>
                <a:pt x="541499" y="380624"/>
                <a:pt x="482180" y="405958"/>
                <a:pt x="443173" y="454944"/>
              </a:cubicBezTo>
              <a:cubicBezTo>
                <a:pt x="404166" y="503930"/>
                <a:pt x="418400" y="585159"/>
                <a:pt x="344538" y="598715"/>
              </a:cubicBezTo>
              <a:cubicBezTo>
                <a:pt x="270676" y="612271"/>
                <a:pt x="135042" y="553297"/>
                <a:pt x="0" y="53628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114933</xdr:colOff>
      <xdr:row>5</xdr:row>
      <xdr:rowOff>716997</xdr:rowOff>
    </xdr:from>
    <xdr:to>
      <xdr:col>3</xdr:col>
      <xdr:colOff>684880</xdr:colOff>
      <xdr:row>5</xdr:row>
      <xdr:rowOff>1461075</xdr:rowOff>
    </xdr:to>
    <xdr:sp macro="" textlink="">
      <xdr:nvSpPr>
        <xdr:cNvPr id="123" name="Полилиния 122"/>
        <xdr:cNvSpPr/>
      </xdr:nvSpPr>
      <xdr:spPr>
        <a:xfrm>
          <a:off x="1666147" y="6159854"/>
          <a:ext cx="569947" cy="744078"/>
        </a:xfrm>
        <a:custGeom>
          <a:avLst/>
          <a:gdLst>
            <a:gd name="connsiteX0" fmla="*/ 0 w 496155"/>
            <a:gd name="connsiteY0" fmla="*/ 0 h 734785"/>
            <a:gd name="connsiteX1" fmla="*/ 310243 w 496155"/>
            <a:gd name="connsiteY1" fmla="*/ 65314 h 734785"/>
            <a:gd name="connsiteX2" fmla="*/ 468085 w 496155"/>
            <a:gd name="connsiteY2" fmla="*/ 223157 h 734785"/>
            <a:gd name="connsiteX3" fmla="*/ 495300 w 496155"/>
            <a:gd name="connsiteY3" fmla="*/ 734785 h 734785"/>
            <a:gd name="connsiteX0" fmla="*/ 0 w 497470"/>
            <a:gd name="connsiteY0" fmla="*/ 0 h 734785"/>
            <a:gd name="connsiteX1" fmla="*/ 268426 w 497470"/>
            <a:gd name="connsiteY1" fmla="*/ 56022 h 734785"/>
            <a:gd name="connsiteX2" fmla="*/ 468085 w 497470"/>
            <a:gd name="connsiteY2" fmla="*/ 223157 h 734785"/>
            <a:gd name="connsiteX3" fmla="*/ 495300 w 497470"/>
            <a:gd name="connsiteY3" fmla="*/ 734785 h 734785"/>
            <a:gd name="connsiteX0" fmla="*/ 0 w 501198"/>
            <a:gd name="connsiteY0" fmla="*/ 0 h 734785"/>
            <a:gd name="connsiteX1" fmla="*/ 268426 w 501198"/>
            <a:gd name="connsiteY1" fmla="*/ 56022 h 734785"/>
            <a:gd name="connsiteX2" fmla="*/ 477378 w 501198"/>
            <a:gd name="connsiteY2" fmla="*/ 274267 h 734785"/>
            <a:gd name="connsiteX3" fmla="*/ 495300 w 501198"/>
            <a:gd name="connsiteY3" fmla="*/ 734785 h 734785"/>
            <a:gd name="connsiteX0" fmla="*/ 0 w 523483"/>
            <a:gd name="connsiteY0" fmla="*/ 0 h 720846"/>
            <a:gd name="connsiteX1" fmla="*/ 268426 w 523483"/>
            <a:gd name="connsiteY1" fmla="*/ 56022 h 720846"/>
            <a:gd name="connsiteX2" fmla="*/ 477378 w 523483"/>
            <a:gd name="connsiteY2" fmla="*/ 274267 h 720846"/>
            <a:gd name="connsiteX3" fmla="*/ 523178 w 523483"/>
            <a:gd name="connsiteY3" fmla="*/ 720846 h 720846"/>
            <a:gd name="connsiteX0" fmla="*/ 0 w 523483"/>
            <a:gd name="connsiteY0" fmla="*/ 0 h 720846"/>
            <a:gd name="connsiteX1" fmla="*/ 268426 w 523483"/>
            <a:gd name="connsiteY1" fmla="*/ 74608 h 720846"/>
            <a:gd name="connsiteX2" fmla="*/ 477378 w 523483"/>
            <a:gd name="connsiteY2" fmla="*/ 274267 h 720846"/>
            <a:gd name="connsiteX3" fmla="*/ 523178 w 523483"/>
            <a:gd name="connsiteY3" fmla="*/ 720846 h 720846"/>
            <a:gd name="connsiteX0" fmla="*/ 0 w 523483"/>
            <a:gd name="connsiteY0" fmla="*/ 0 h 720846"/>
            <a:gd name="connsiteX1" fmla="*/ 268426 w 523483"/>
            <a:gd name="connsiteY1" fmla="*/ 74608 h 720846"/>
            <a:gd name="connsiteX2" fmla="*/ 477378 w 523483"/>
            <a:gd name="connsiteY2" fmla="*/ 274267 h 720846"/>
            <a:gd name="connsiteX3" fmla="*/ 523178 w 523483"/>
            <a:gd name="connsiteY3" fmla="*/ 720846 h 720846"/>
            <a:gd name="connsiteX0" fmla="*/ 0 w 569947"/>
            <a:gd name="connsiteY0" fmla="*/ 0 h 744078"/>
            <a:gd name="connsiteX1" fmla="*/ 314890 w 569947"/>
            <a:gd name="connsiteY1" fmla="*/ 97840 h 744078"/>
            <a:gd name="connsiteX2" fmla="*/ 523842 w 569947"/>
            <a:gd name="connsiteY2" fmla="*/ 297499 h 744078"/>
            <a:gd name="connsiteX3" fmla="*/ 569642 w 569947"/>
            <a:gd name="connsiteY3" fmla="*/ 744078 h 7440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69947" h="744078">
              <a:moveTo>
                <a:pt x="0" y="0"/>
              </a:moveTo>
              <a:cubicBezTo>
                <a:pt x="176517" y="41938"/>
                <a:pt x="227583" y="48257"/>
                <a:pt x="314890" y="97840"/>
              </a:cubicBezTo>
              <a:cubicBezTo>
                <a:pt x="402197" y="147423"/>
                <a:pt x="481383" y="189793"/>
                <a:pt x="523842" y="297499"/>
              </a:cubicBezTo>
              <a:cubicBezTo>
                <a:pt x="566301" y="405205"/>
                <a:pt x="571456" y="544053"/>
                <a:pt x="569642" y="74407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808767</xdr:colOff>
      <xdr:row>5</xdr:row>
      <xdr:rowOff>555173</xdr:rowOff>
    </xdr:from>
    <xdr:to>
      <xdr:col>3</xdr:col>
      <xdr:colOff>1262313</xdr:colOff>
      <xdr:row>5</xdr:row>
      <xdr:rowOff>1456297</xdr:rowOff>
    </xdr:to>
    <xdr:sp macro="" textlink="">
      <xdr:nvSpPr>
        <xdr:cNvPr id="127" name="Полилиния 126"/>
        <xdr:cNvSpPr/>
      </xdr:nvSpPr>
      <xdr:spPr>
        <a:xfrm>
          <a:off x="2356580" y="4484236"/>
          <a:ext cx="453546" cy="901124"/>
        </a:xfrm>
        <a:custGeom>
          <a:avLst/>
          <a:gdLst>
            <a:gd name="connsiteX0" fmla="*/ 2057 w 426599"/>
            <a:gd name="connsiteY0" fmla="*/ 887185 h 887185"/>
            <a:gd name="connsiteX1" fmla="*/ 12942 w 426599"/>
            <a:gd name="connsiteY1" fmla="*/ 533400 h 887185"/>
            <a:gd name="connsiteX2" fmla="*/ 100028 w 426599"/>
            <a:gd name="connsiteY2" fmla="*/ 370114 h 887185"/>
            <a:gd name="connsiteX3" fmla="*/ 197999 w 426599"/>
            <a:gd name="connsiteY3" fmla="*/ 261257 h 887185"/>
            <a:gd name="connsiteX4" fmla="*/ 241542 w 426599"/>
            <a:gd name="connsiteY4" fmla="*/ 97971 h 887185"/>
            <a:gd name="connsiteX5" fmla="*/ 350399 w 426599"/>
            <a:gd name="connsiteY5" fmla="*/ 21771 h 887185"/>
            <a:gd name="connsiteX6" fmla="*/ 426599 w 426599"/>
            <a:gd name="connsiteY6" fmla="*/ 0 h 887185"/>
            <a:gd name="connsiteX0" fmla="*/ 2057 w 426599"/>
            <a:gd name="connsiteY0" fmla="*/ 887185 h 887185"/>
            <a:gd name="connsiteX1" fmla="*/ 12942 w 426599"/>
            <a:gd name="connsiteY1" fmla="*/ 533400 h 887185"/>
            <a:gd name="connsiteX2" fmla="*/ 100028 w 426599"/>
            <a:gd name="connsiteY2" fmla="*/ 370114 h 887185"/>
            <a:gd name="connsiteX3" fmla="*/ 193353 w 426599"/>
            <a:gd name="connsiteY3" fmla="*/ 242671 h 887185"/>
            <a:gd name="connsiteX4" fmla="*/ 241542 w 426599"/>
            <a:gd name="connsiteY4" fmla="*/ 97971 h 887185"/>
            <a:gd name="connsiteX5" fmla="*/ 350399 w 426599"/>
            <a:gd name="connsiteY5" fmla="*/ 21771 h 887185"/>
            <a:gd name="connsiteX6" fmla="*/ 426599 w 426599"/>
            <a:gd name="connsiteY6" fmla="*/ 0 h 887185"/>
            <a:gd name="connsiteX0" fmla="*/ 2057 w 449831"/>
            <a:gd name="connsiteY0" fmla="*/ 887185 h 887185"/>
            <a:gd name="connsiteX1" fmla="*/ 12942 w 449831"/>
            <a:gd name="connsiteY1" fmla="*/ 533400 h 887185"/>
            <a:gd name="connsiteX2" fmla="*/ 100028 w 449831"/>
            <a:gd name="connsiteY2" fmla="*/ 370114 h 887185"/>
            <a:gd name="connsiteX3" fmla="*/ 193353 w 449831"/>
            <a:gd name="connsiteY3" fmla="*/ 242671 h 887185"/>
            <a:gd name="connsiteX4" fmla="*/ 241542 w 449831"/>
            <a:gd name="connsiteY4" fmla="*/ 97971 h 887185"/>
            <a:gd name="connsiteX5" fmla="*/ 350399 w 449831"/>
            <a:gd name="connsiteY5" fmla="*/ 21771 h 887185"/>
            <a:gd name="connsiteX6" fmla="*/ 449831 w 449831"/>
            <a:gd name="connsiteY6" fmla="*/ 0 h 887185"/>
            <a:gd name="connsiteX0" fmla="*/ 1126 w 453546"/>
            <a:gd name="connsiteY0" fmla="*/ 901124 h 901124"/>
            <a:gd name="connsiteX1" fmla="*/ 16657 w 453546"/>
            <a:gd name="connsiteY1" fmla="*/ 533400 h 901124"/>
            <a:gd name="connsiteX2" fmla="*/ 103743 w 453546"/>
            <a:gd name="connsiteY2" fmla="*/ 370114 h 901124"/>
            <a:gd name="connsiteX3" fmla="*/ 197068 w 453546"/>
            <a:gd name="connsiteY3" fmla="*/ 242671 h 901124"/>
            <a:gd name="connsiteX4" fmla="*/ 245257 w 453546"/>
            <a:gd name="connsiteY4" fmla="*/ 97971 h 901124"/>
            <a:gd name="connsiteX5" fmla="*/ 354114 w 453546"/>
            <a:gd name="connsiteY5" fmla="*/ 21771 h 901124"/>
            <a:gd name="connsiteX6" fmla="*/ 453546 w 453546"/>
            <a:gd name="connsiteY6" fmla="*/ 0 h 9011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53546" h="901124">
              <a:moveTo>
                <a:pt x="1126" y="901124"/>
              </a:moveTo>
              <a:cubicBezTo>
                <a:pt x="-1596" y="767320"/>
                <a:pt x="-446" y="621902"/>
                <a:pt x="16657" y="533400"/>
              </a:cubicBezTo>
              <a:cubicBezTo>
                <a:pt x="33760" y="444898"/>
                <a:pt x="73675" y="418569"/>
                <a:pt x="103743" y="370114"/>
              </a:cubicBezTo>
              <a:cubicBezTo>
                <a:pt x="133811" y="321659"/>
                <a:pt x="173482" y="288028"/>
                <a:pt x="197068" y="242671"/>
              </a:cubicBezTo>
              <a:cubicBezTo>
                <a:pt x="220654" y="197314"/>
                <a:pt x="219083" y="134788"/>
                <a:pt x="245257" y="97971"/>
              </a:cubicBezTo>
              <a:cubicBezTo>
                <a:pt x="271431" y="61154"/>
                <a:pt x="319399" y="38100"/>
                <a:pt x="354114" y="21771"/>
              </a:cubicBezTo>
              <a:cubicBezTo>
                <a:pt x="388829" y="5443"/>
                <a:pt x="430867" y="2721"/>
                <a:pt x="45354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958130</xdr:colOff>
      <xdr:row>5</xdr:row>
      <xdr:rowOff>129832</xdr:rowOff>
    </xdr:from>
    <xdr:to>
      <xdr:col>3</xdr:col>
      <xdr:colOff>1018028</xdr:colOff>
      <xdr:row>5</xdr:row>
      <xdr:rowOff>637478</xdr:rowOff>
    </xdr:to>
    <xdr:sp macro="" textlink="">
      <xdr:nvSpPr>
        <xdr:cNvPr id="129" name="Полилиния 128"/>
        <xdr:cNvSpPr/>
      </xdr:nvSpPr>
      <xdr:spPr>
        <a:xfrm>
          <a:off x="2505943" y="4058895"/>
          <a:ext cx="59898" cy="507646"/>
        </a:xfrm>
        <a:custGeom>
          <a:avLst/>
          <a:gdLst>
            <a:gd name="connsiteX0" fmla="*/ 59962 w 59962"/>
            <a:gd name="connsiteY0" fmla="*/ 0 h 484414"/>
            <a:gd name="connsiteX1" fmla="*/ 91 w 59962"/>
            <a:gd name="connsiteY1" fmla="*/ 321128 h 484414"/>
            <a:gd name="connsiteX2" fmla="*/ 49076 w 59962"/>
            <a:gd name="connsiteY2" fmla="*/ 484414 h 484414"/>
            <a:gd name="connsiteX0" fmla="*/ 59898 w 59898"/>
            <a:gd name="connsiteY0" fmla="*/ 0 h 507646"/>
            <a:gd name="connsiteX1" fmla="*/ 27 w 59898"/>
            <a:gd name="connsiteY1" fmla="*/ 321128 h 507646"/>
            <a:gd name="connsiteX2" fmla="*/ 53658 w 59898"/>
            <a:gd name="connsiteY2" fmla="*/ 507646 h 5076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898" h="507646">
              <a:moveTo>
                <a:pt x="59898" y="0"/>
              </a:moveTo>
              <a:cubicBezTo>
                <a:pt x="30869" y="120196"/>
                <a:pt x="1067" y="236520"/>
                <a:pt x="27" y="321128"/>
              </a:cubicBezTo>
              <a:cubicBezTo>
                <a:pt x="-1013" y="405736"/>
                <a:pt x="28258" y="466371"/>
                <a:pt x="53658" y="507646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406898</xdr:colOff>
      <xdr:row>5</xdr:row>
      <xdr:rowOff>365468</xdr:rowOff>
    </xdr:from>
    <xdr:to>
      <xdr:col>3</xdr:col>
      <xdr:colOff>537526</xdr:colOff>
      <xdr:row>5</xdr:row>
      <xdr:rowOff>545083</xdr:rowOff>
    </xdr:to>
    <xdr:sp macro="" textlink="">
      <xdr:nvSpPr>
        <xdr:cNvPr id="130" name="Полилиния 129"/>
        <xdr:cNvSpPr/>
      </xdr:nvSpPr>
      <xdr:spPr>
        <a:xfrm>
          <a:off x="1954711" y="4294531"/>
          <a:ext cx="130628" cy="179615"/>
        </a:xfrm>
        <a:custGeom>
          <a:avLst/>
          <a:gdLst>
            <a:gd name="connsiteX0" fmla="*/ 0 w 130628"/>
            <a:gd name="connsiteY0" fmla="*/ 0 h 179615"/>
            <a:gd name="connsiteX1" fmla="*/ 97971 w 130628"/>
            <a:gd name="connsiteY1" fmla="*/ 54429 h 179615"/>
            <a:gd name="connsiteX2" fmla="*/ 130628 w 130628"/>
            <a:gd name="connsiteY2" fmla="*/ 179615 h 1796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0628" h="179615">
              <a:moveTo>
                <a:pt x="0" y="0"/>
              </a:moveTo>
              <a:cubicBezTo>
                <a:pt x="38100" y="12246"/>
                <a:pt x="76200" y="24493"/>
                <a:pt x="97971" y="54429"/>
              </a:cubicBezTo>
              <a:cubicBezTo>
                <a:pt x="119742" y="84365"/>
                <a:pt x="125185" y="131990"/>
                <a:pt x="130628" y="179615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763515</xdr:colOff>
      <xdr:row>5</xdr:row>
      <xdr:rowOff>1403995</xdr:rowOff>
    </xdr:from>
    <xdr:to>
      <xdr:col>3</xdr:col>
      <xdr:colOff>838828</xdr:colOff>
      <xdr:row>5</xdr:row>
      <xdr:rowOff>1475995</xdr:rowOff>
    </xdr:to>
    <xdr:sp macro="" textlink="">
      <xdr:nvSpPr>
        <xdr:cNvPr id="134" name="Овал 133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314729" y="6846852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775115</xdr:colOff>
      <xdr:row>8</xdr:row>
      <xdr:rowOff>85725</xdr:rowOff>
    </xdr:from>
    <xdr:to>
      <xdr:col>3</xdr:col>
      <xdr:colOff>775115</xdr:colOff>
      <xdr:row>8</xdr:row>
      <xdr:rowOff>1397681</xdr:rowOff>
    </xdr:to>
    <xdr:cxnSp macro="">
      <xdr:nvCxnSpPr>
        <xdr:cNvPr id="135" name="Прямая со стрелкой 13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8165" y="14678025"/>
          <a:ext cx="0" cy="1311956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734122</xdr:colOff>
      <xdr:row>8</xdr:row>
      <xdr:rowOff>1379982</xdr:rowOff>
    </xdr:from>
    <xdr:to>
      <xdr:col>3</xdr:col>
      <xdr:colOff>806122</xdr:colOff>
      <xdr:row>8</xdr:row>
      <xdr:rowOff>1451982</xdr:rowOff>
    </xdr:to>
    <xdr:sp macro="" textlink="">
      <xdr:nvSpPr>
        <xdr:cNvPr id="136" name="Овал 13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7172" y="159722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514350</xdr:colOff>
      <xdr:row>8</xdr:row>
      <xdr:rowOff>731296</xdr:rowOff>
    </xdr:from>
    <xdr:to>
      <xdr:col>3</xdr:col>
      <xdr:colOff>586350</xdr:colOff>
      <xdr:row>8</xdr:row>
      <xdr:rowOff>803296</xdr:rowOff>
    </xdr:to>
    <xdr:sp macro="" textlink="">
      <xdr:nvSpPr>
        <xdr:cNvPr id="138" name="5-конечная звезда 137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57400" y="153235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773445</xdr:colOff>
      <xdr:row>6</xdr:row>
      <xdr:rowOff>1341808</xdr:rowOff>
    </xdr:from>
    <xdr:to>
      <xdr:col>3</xdr:col>
      <xdr:colOff>848758</xdr:colOff>
      <xdr:row>6</xdr:row>
      <xdr:rowOff>1413808</xdr:rowOff>
    </xdr:to>
    <xdr:sp macro="" textlink="">
      <xdr:nvSpPr>
        <xdr:cNvPr id="139" name="Овал 138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316495" y="11362108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802856</xdr:colOff>
      <xdr:row>6</xdr:row>
      <xdr:rowOff>67235</xdr:rowOff>
    </xdr:from>
    <xdr:to>
      <xdr:col>3</xdr:col>
      <xdr:colOff>802856</xdr:colOff>
      <xdr:row>6</xdr:row>
      <xdr:rowOff>1396045</xdr:rowOff>
    </xdr:to>
    <xdr:cxnSp macro="">
      <xdr:nvCxnSpPr>
        <xdr:cNvPr id="140" name="Прямая со стрелкой 139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V="1">
          <a:off x="2345906" y="10087535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89647</xdr:colOff>
      <xdr:row>6</xdr:row>
      <xdr:rowOff>727033</xdr:rowOff>
    </xdr:from>
    <xdr:to>
      <xdr:col>3</xdr:col>
      <xdr:colOff>1536637</xdr:colOff>
      <xdr:row>6</xdr:row>
      <xdr:rowOff>727033</xdr:rowOff>
    </xdr:to>
    <xdr:cxnSp macro="">
      <xdr:nvCxnSpPr>
        <xdr:cNvPr id="141" name="Прямая со стрелкой 140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>
          <a:off x="1632697" y="10747333"/>
          <a:ext cx="1446990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869915</xdr:colOff>
      <xdr:row>6</xdr:row>
      <xdr:rowOff>792568</xdr:rowOff>
    </xdr:from>
    <xdr:to>
      <xdr:col>3</xdr:col>
      <xdr:colOff>941915</xdr:colOff>
      <xdr:row>6</xdr:row>
      <xdr:rowOff>864568</xdr:rowOff>
    </xdr:to>
    <xdr:sp macro="" textlink="">
      <xdr:nvSpPr>
        <xdr:cNvPr id="142" name="5-конечная звезда 141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SpPr/>
      </xdr:nvSpPr>
      <xdr:spPr>
        <a:xfrm>
          <a:off x="2412965" y="1081286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1086971</xdr:colOff>
      <xdr:row>7</xdr:row>
      <xdr:rowOff>3922</xdr:rowOff>
    </xdr:from>
    <xdr:to>
      <xdr:col>5</xdr:col>
      <xdr:colOff>6822</xdr:colOff>
      <xdr:row>7</xdr:row>
      <xdr:rowOff>3922</xdr:rowOff>
    </xdr:to>
    <xdr:grpSp>
      <xdr:nvGrpSpPr>
        <xdr:cNvPr id="143" name="Группа 142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4211171" y="6976222"/>
          <a:ext cx="300976" cy="0"/>
          <a:chOff x="635632" y="15053070"/>
          <a:chExt cx="102554" cy="297657"/>
        </a:xfrm>
      </xdr:grpSpPr>
      <xdr:sp macro="" textlink="">
        <xdr:nvSpPr>
          <xdr:cNvPr id="144" name="Прямоугольник 143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5" name="Овал 144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6" name="Овал 145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7" name="Овал 146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438379</xdr:colOff>
      <xdr:row>7</xdr:row>
      <xdr:rowOff>2667778</xdr:rowOff>
    </xdr:from>
    <xdr:to>
      <xdr:col>4</xdr:col>
      <xdr:colOff>582674</xdr:colOff>
      <xdr:row>7</xdr:row>
      <xdr:rowOff>2811659</xdr:rowOff>
    </xdr:to>
    <xdr:sp macro="" textlink="">
      <xdr:nvSpPr>
        <xdr:cNvPr id="148" name="Овал 147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3560720" y="9637290"/>
          <a:ext cx="144295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3</xdr:col>
      <xdr:colOff>1472760</xdr:colOff>
      <xdr:row>7</xdr:row>
      <xdr:rowOff>588150</xdr:rowOff>
    </xdr:from>
    <xdr:ext cx="676083" cy="1219436"/>
    <xdr:sp macro="" textlink="">
      <xdr:nvSpPr>
        <xdr:cNvPr id="149" name="TextBox 148"/>
        <xdr:cNvSpPr txBox="1"/>
      </xdr:nvSpPr>
      <xdr:spPr>
        <a:xfrm>
          <a:off x="3019172" y="7580621"/>
          <a:ext cx="676083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7200" b="1">
              <a:solidFill>
                <a:schemeClr val="tx2">
                  <a:lumMod val="60000"/>
                  <a:lumOff val="40000"/>
                </a:schemeClr>
              </a:solidFill>
            </a:rPr>
            <a:t>P</a:t>
          </a:r>
          <a:endParaRPr lang="ru-RU" sz="72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3</xdr:col>
      <xdr:colOff>654326</xdr:colOff>
      <xdr:row>7</xdr:row>
      <xdr:rowOff>114493</xdr:rowOff>
    </xdr:from>
    <xdr:to>
      <xdr:col>5</xdr:col>
      <xdr:colOff>422413</xdr:colOff>
      <xdr:row>7</xdr:row>
      <xdr:rowOff>2614625</xdr:rowOff>
    </xdr:to>
    <xdr:sp macro="" textlink="">
      <xdr:nvSpPr>
        <xdr:cNvPr id="150" name="Полилиния 149"/>
        <xdr:cNvSpPr/>
      </xdr:nvSpPr>
      <xdr:spPr>
        <a:xfrm>
          <a:off x="2195644" y="7093720"/>
          <a:ext cx="2729496" cy="2500132"/>
        </a:xfrm>
        <a:custGeom>
          <a:avLst/>
          <a:gdLst>
            <a:gd name="connsiteX0" fmla="*/ 2733261 w 2733261"/>
            <a:gd name="connsiteY0" fmla="*/ 0 h 2807804"/>
            <a:gd name="connsiteX1" fmla="*/ 2733261 w 2733261"/>
            <a:gd name="connsiteY1" fmla="*/ 1300369 h 2807804"/>
            <a:gd name="connsiteX2" fmla="*/ 2236305 w 2733261"/>
            <a:gd name="connsiteY2" fmla="*/ 1300369 h 2807804"/>
            <a:gd name="connsiteX3" fmla="*/ 2236305 w 2733261"/>
            <a:gd name="connsiteY3" fmla="*/ 289891 h 2807804"/>
            <a:gd name="connsiteX4" fmla="*/ 381000 w 2733261"/>
            <a:gd name="connsiteY4" fmla="*/ 289891 h 2807804"/>
            <a:gd name="connsiteX5" fmla="*/ 381000 w 2733261"/>
            <a:gd name="connsiteY5" fmla="*/ 579782 h 2807804"/>
            <a:gd name="connsiteX6" fmla="*/ 149087 w 2733261"/>
            <a:gd name="connsiteY6" fmla="*/ 811695 h 2807804"/>
            <a:gd name="connsiteX7" fmla="*/ 0 w 2733261"/>
            <a:gd name="connsiteY7" fmla="*/ 811695 h 2807804"/>
            <a:gd name="connsiteX8" fmla="*/ 0 w 2733261"/>
            <a:gd name="connsiteY8" fmla="*/ 2426804 h 2807804"/>
            <a:gd name="connsiteX9" fmla="*/ 1027044 w 2733261"/>
            <a:gd name="connsiteY9" fmla="*/ 2426804 h 2807804"/>
            <a:gd name="connsiteX10" fmla="*/ 1027044 w 2733261"/>
            <a:gd name="connsiteY10" fmla="*/ 2807804 h 2807804"/>
            <a:gd name="connsiteX0" fmla="*/ 2733261 w 2733261"/>
            <a:gd name="connsiteY0" fmla="*/ 1010478 h 2517913"/>
            <a:gd name="connsiteX1" fmla="*/ 2236305 w 2733261"/>
            <a:gd name="connsiteY1" fmla="*/ 1010478 h 2517913"/>
            <a:gd name="connsiteX2" fmla="*/ 2236305 w 2733261"/>
            <a:gd name="connsiteY2" fmla="*/ 0 h 2517913"/>
            <a:gd name="connsiteX3" fmla="*/ 381000 w 2733261"/>
            <a:gd name="connsiteY3" fmla="*/ 0 h 2517913"/>
            <a:gd name="connsiteX4" fmla="*/ 381000 w 2733261"/>
            <a:gd name="connsiteY4" fmla="*/ 289891 h 2517913"/>
            <a:gd name="connsiteX5" fmla="*/ 149087 w 2733261"/>
            <a:gd name="connsiteY5" fmla="*/ 521804 h 2517913"/>
            <a:gd name="connsiteX6" fmla="*/ 0 w 2733261"/>
            <a:gd name="connsiteY6" fmla="*/ 521804 h 2517913"/>
            <a:gd name="connsiteX7" fmla="*/ 0 w 2733261"/>
            <a:gd name="connsiteY7" fmla="*/ 2136913 h 2517913"/>
            <a:gd name="connsiteX8" fmla="*/ 1027044 w 2733261"/>
            <a:gd name="connsiteY8" fmla="*/ 2136913 h 2517913"/>
            <a:gd name="connsiteX9" fmla="*/ 1027044 w 2733261"/>
            <a:gd name="connsiteY9" fmla="*/ 2517913 h 2517913"/>
            <a:gd name="connsiteX0" fmla="*/ 2733261 w 2733261"/>
            <a:gd name="connsiteY0" fmla="*/ 1010478 h 2517913"/>
            <a:gd name="connsiteX1" fmla="*/ 2236305 w 2733261"/>
            <a:gd name="connsiteY1" fmla="*/ 1010478 h 2517913"/>
            <a:gd name="connsiteX2" fmla="*/ 2236305 w 2733261"/>
            <a:gd name="connsiteY2" fmla="*/ 0 h 2517913"/>
            <a:gd name="connsiteX3" fmla="*/ 381000 w 2733261"/>
            <a:gd name="connsiteY3" fmla="*/ 0 h 2517913"/>
            <a:gd name="connsiteX4" fmla="*/ 381000 w 2733261"/>
            <a:gd name="connsiteY4" fmla="*/ 289891 h 2517913"/>
            <a:gd name="connsiteX5" fmla="*/ 149087 w 2733261"/>
            <a:gd name="connsiteY5" fmla="*/ 521804 h 2517913"/>
            <a:gd name="connsiteX6" fmla="*/ 0 w 2733261"/>
            <a:gd name="connsiteY6" fmla="*/ 521804 h 2517913"/>
            <a:gd name="connsiteX7" fmla="*/ 0 w 2733261"/>
            <a:gd name="connsiteY7" fmla="*/ 2136913 h 2517913"/>
            <a:gd name="connsiteX8" fmla="*/ 1027044 w 2733261"/>
            <a:gd name="connsiteY8" fmla="*/ 2136913 h 2517913"/>
            <a:gd name="connsiteX9" fmla="*/ 1025049 w 2733261"/>
            <a:gd name="connsiteY9" fmla="*/ 2422411 h 2517913"/>
            <a:gd name="connsiteX10" fmla="*/ 1027044 w 2733261"/>
            <a:gd name="connsiteY10" fmla="*/ 2517913 h 2517913"/>
            <a:gd name="connsiteX0" fmla="*/ 2733261 w 2733261"/>
            <a:gd name="connsiteY0" fmla="*/ 1010478 h 2476096"/>
            <a:gd name="connsiteX1" fmla="*/ 2236305 w 2733261"/>
            <a:gd name="connsiteY1" fmla="*/ 1010478 h 2476096"/>
            <a:gd name="connsiteX2" fmla="*/ 2236305 w 2733261"/>
            <a:gd name="connsiteY2" fmla="*/ 0 h 2476096"/>
            <a:gd name="connsiteX3" fmla="*/ 381000 w 2733261"/>
            <a:gd name="connsiteY3" fmla="*/ 0 h 2476096"/>
            <a:gd name="connsiteX4" fmla="*/ 381000 w 2733261"/>
            <a:gd name="connsiteY4" fmla="*/ 289891 h 2476096"/>
            <a:gd name="connsiteX5" fmla="*/ 149087 w 2733261"/>
            <a:gd name="connsiteY5" fmla="*/ 521804 h 2476096"/>
            <a:gd name="connsiteX6" fmla="*/ 0 w 2733261"/>
            <a:gd name="connsiteY6" fmla="*/ 521804 h 2476096"/>
            <a:gd name="connsiteX7" fmla="*/ 0 w 2733261"/>
            <a:gd name="connsiteY7" fmla="*/ 2136913 h 2476096"/>
            <a:gd name="connsiteX8" fmla="*/ 1027044 w 2733261"/>
            <a:gd name="connsiteY8" fmla="*/ 2136913 h 2476096"/>
            <a:gd name="connsiteX9" fmla="*/ 1025049 w 2733261"/>
            <a:gd name="connsiteY9" fmla="*/ 2422411 h 2476096"/>
            <a:gd name="connsiteX10" fmla="*/ 7461 w 2733261"/>
            <a:gd name="connsiteY10" fmla="*/ 2476096 h 2476096"/>
            <a:gd name="connsiteX0" fmla="*/ 2733261 w 2733261"/>
            <a:gd name="connsiteY0" fmla="*/ 1010478 h 2482813"/>
            <a:gd name="connsiteX1" fmla="*/ 2236305 w 2733261"/>
            <a:gd name="connsiteY1" fmla="*/ 1010478 h 2482813"/>
            <a:gd name="connsiteX2" fmla="*/ 2236305 w 2733261"/>
            <a:gd name="connsiteY2" fmla="*/ 0 h 2482813"/>
            <a:gd name="connsiteX3" fmla="*/ 381000 w 2733261"/>
            <a:gd name="connsiteY3" fmla="*/ 0 h 2482813"/>
            <a:gd name="connsiteX4" fmla="*/ 381000 w 2733261"/>
            <a:gd name="connsiteY4" fmla="*/ 289891 h 2482813"/>
            <a:gd name="connsiteX5" fmla="*/ 149087 w 2733261"/>
            <a:gd name="connsiteY5" fmla="*/ 521804 h 2482813"/>
            <a:gd name="connsiteX6" fmla="*/ 0 w 2733261"/>
            <a:gd name="connsiteY6" fmla="*/ 521804 h 2482813"/>
            <a:gd name="connsiteX7" fmla="*/ 0 w 2733261"/>
            <a:gd name="connsiteY7" fmla="*/ 2136913 h 2482813"/>
            <a:gd name="connsiteX8" fmla="*/ 1027044 w 2733261"/>
            <a:gd name="connsiteY8" fmla="*/ 2136913 h 2482813"/>
            <a:gd name="connsiteX9" fmla="*/ 1029706 w 2733261"/>
            <a:gd name="connsiteY9" fmla="*/ 2482813 h 2482813"/>
            <a:gd name="connsiteX10" fmla="*/ 7461 w 2733261"/>
            <a:gd name="connsiteY10" fmla="*/ 2476096 h 2482813"/>
            <a:gd name="connsiteX0" fmla="*/ 2733261 w 2733261"/>
            <a:gd name="connsiteY0" fmla="*/ 1010478 h 2490035"/>
            <a:gd name="connsiteX1" fmla="*/ 2236305 w 2733261"/>
            <a:gd name="connsiteY1" fmla="*/ 1010478 h 2490035"/>
            <a:gd name="connsiteX2" fmla="*/ 2236305 w 2733261"/>
            <a:gd name="connsiteY2" fmla="*/ 0 h 2490035"/>
            <a:gd name="connsiteX3" fmla="*/ 381000 w 2733261"/>
            <a:gd name="connsiteY3" fmla="*/ 0 h 2490035"/>
            <a:gd name="connsiteX4" fmla="*/ 381000 w 2733261"/>
            <a:gd name="connsiteY4" fmla="*/ 289891 h 2490035"/>
            <a:gd name="connsiteX5" fmla="*/ 149087 w 2733261"/>
            <a:gd name="connsiteY5" fmla="*/ 521804 h 2490035"/>
            <a:gd name="connsiteX6" fmla="*/ 0 w 2733261"/>
            <a:gd name="connsiteY6" fmla="*/ 521804 h 2490035"/>
            <a:gd name="connsiteX7" fmla="*/ 0 w 2733261"/>
            <a:gd name="connsiteY7" fmla="*/ 2136913 h 2490035"/>
            <a:gd name="connsiteX8" fmla="*/ 1027044 w 2733261"/>
            <a:gd name="connsiteY8" fmla="*/ 2136913 h 2490035"/>
            <a:gd name="connsiteX9" fmla="*/ 1029706 w 2733261"/>
            <a:gd name="connsiteY9" fmla="*/ 2482813 h 2490035"/>
            <a:gd name="connsiteX10" fmla="*/ 2805 w 2733261"/>
            <a:gd name="connsiteY10" fmla="*/ 2490035 h 2490035"/>
            <a:gd name="connsiteX0" fmla="*/ 2733261 w 2733261"/>
            <a:gd name="connsiteY0" fmla="*/ 1010478 h 2485389"/>
            <a:gd name="connsiteX1" fmla="*/ 2236305 w 2733261"/>
            <a:gd name="connsiteY1" fmla="*/ 1010478 h 2485389"/>
            <a:gd name="connsiteX2" fmla="*/ 2236305 w 2733261"/>
            <a:gd name="connsiteY2" fmla="*/ 0 h 2485389"/>
            <a:gd name="connsiteX3" fmla="*/ 381000 w 2733261"/>
            <a:gd name="connsiteY3" fmla="*/ 0 h 2485389"/>
            <a:gd name="connsiteX4" fmla="*/ 381000 w 2733261"/>
            <a:gd name="connsiteY4" fmla="*/ 289891 h 2485389"/>
            <a:gd name="connsiteX5" fmla="*/ 149087 w 2733261"/>
            <a:gd name="connsiteY5" fmla="*/ 521804 h 2485389"/>
            <a:gd name="connsiteX6" fmla="*/ 0 w 2733261"/>
            <a:gd name="connsiteY6" fmla="*/ 521804 h 2485389"/>
            <a:gd name="connsiteX7" fmla="*/ 0 w 2733261"/>
            <a:gd name="connsiteY7" fmla="*/ 2136913 h 2485389"/>
            <a:gd name="connsiteX8" fmla="*/ 1027044 w 2733261"/>
            <a:gd name="connsiteY8" fmla="*/ 2136913 h 2485389"/>
            <a:gd name="connsiteX9" fmla="*/ 1029706 w 2733261"/>
            <a:gd name="connsiteY9" fmla="*/ 2482813 h 2485389"/>
            <a:gd name="connsiteX10" fmla="*/ 16771 w 2733261"/>
            <a:gd name="connsiteY10" fmla="*/ 2485389 h 2485389"/>
            <a:gd name="connsiteX0" fmla="*/ 2733261 w 2733261"/>
            <a:gd name="connsiteY0" fmla="*/ 1010478 h 2500132"/>
            <a:gd name="connsiteX1" fmla="*/ 2236305 w 2733261"/>
            <a:gd name="connsiteY1" fmla="*/ 1010478 h 2500132"/>
            <a:gd name="connsiteX2" fmla="*/ 2236305 w 2733261"/>
            <a:gd name="connsiteY2" fmla="*/ 0 h 2500132"/>
            <a:gd name="connsiteX3" fmla="*/ 381000 w 2733261"/>
            <a:gd name="connsiteY3" fmla="*/ 0 h 2500132"/>
            <a:gd name="connsiteX4" fmla="*/ 381000 w 2733261"/>
            <a:gd name="connsiteY4" fmla="*/ 289891 h 2500132"/>
            <a:gd name="connsiteX5" fmla="*/ 149087 w 2733261"/>
            <a:gd name="connsiteY5" fmla="*/ 521804 h 2500132"/>
            <a:gd name="connsiteX6" fmla="*/ 0 w 2733261"/>
            <a:gd name="connsiteY6" fmla="*/ 521804 h 2500132"/>
            <a:gd name="connsiteX7" fmla="*/ 0 w 2733261"/>
            <a:gd name="connsiteY7" fmla="*/ 2136913 h 2500132"/>
            <a:gd name="connsiteX8" fmla="*/ 1027044 w 2733261"/>
            <a:gd name="connsiteY8" fmla="*/ 2136913 h 2500132"/>
            <a:gd name="connsiteX9" fmla="*/ 1029706 w 2733261"/>
            <a:gd name="connsiteY9" fmla="*/ 2500132 h 2500132"/>
            <a:gd name="connsiteX10" fmla="*/ 16771 w 2733261"/>
            <a:gd name="connsiteY10" fmla="*/ 2485389 h 2500132"/>
            <a:gd name="connsiteX0" fmla="*/ 2733261 w 2733261"/>
            <a:gd name="connsiteY0" fmla="*/ 1010478 h 2500132"/>
            <a:gd name="connsiteX1" fmla="*/ 2236305 w 2733261"/>
            <a:gd name="connsiteY1" fmla="*/ 1010478 h 2500132"/>
            <a:gd name="connsiteX2" fmla="*/ 2236305 w 2733261"/>
            <a:gd name="connsiteY2" fmla="*/ 0 h 2500132"/>
            <a:gd name="connsiteX3" fmla="*/ 381000 w 2733261"/>
            <a:gd name="connsiteY3" fmla="*/ 0 h 2500132"/>
            <a:gd name="connsiteX4" fmla="*/ 381000 w 2733261"/>
            <a:gd name="connsiteY4" fmla="*/ 289891 h 2500132"/>
            <a:gd name="connsiteX5" fmla="*/ 149087 w 2733261"/>
            <a:gd name="connsiteY5" fmla="*/ 521804 h 2500132"/>
            <a:gd name="connsiteX6" fmla="*/ 0 w 2733261"/>
            <a:gd name="connsiteY6" fmla="*/ 521804 h 2500132"/>
            <a:gd name="connsiteX7" fmla="*/ 0 w 2733261"/>
            <a:gd name="connsiteY7" fmla="*/ 2136913 h 2500132"/>
            <a:gd name="connsiteX8" fmla="*/ 1027044 w 2733261"/>
            <a:gd name="connsiteY8" fmla="*/ 2136913 h 2500132"/>
            <a:gd name="connsiteX9" fmla="*/ 1029706 w 2733261"/>
            <a:gd name="connsiteY9" fmla="*/ 2500132 h 2500132"/>
            <a:gd name="connsiteX10" fmla="*/ 12436 w 2733261"/>
            <a:gd name="connsiteY10" fmla="*/ 2498378 h 25001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733261" h="2500132">
              <a:moveTo>
                <a:pt x="2733261" y="1010478"/>
              </a:moveTo>
              <a:lnTo>
                <a:pt x="2236305" y="1010478"/>
              </a:lnTo>
              <a:lnTo>
                <a:pt x="2236305" y="0"/>
              </a:lnTo>
              <a:lnTo>
                <a:pt x="381000" y="0"/>
              </a:lnTo>
              <a:lnTo>
                <a:pt x="381000" y="289891"/>
              </a:lnTo>
              <a:lnTo>
                <a:pt x="149087" y="521804"/>
              </a:lnTo>
              <a:lnTo>
                <a:pt x="0" y="521804"/>
              </a:lnTo>
              <a:lnTo>
                <a:pt x="0" y="2136913"/>
              </a:lnTo>
              <a:lnTo>
                <a:pt x="1027044" y="2136913"/>
              </a:lnTo>
              <a:cubicBezTo>
                <a:pt x="1027931" y="2252213"/>
                <a:pt x="1028819" y="2384832"/>
                <a:pt x="1029706" y="2500132"/>
              </a:cubicBezTo>
              <a:lnTo>
                <a:pt x="12436" y="2498378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268398</xdr:colOff>
      <xdr:row>7</xdr:row>
      <xdr:rowOff>1363872</xdr:rowOff>
    </xdr:from>
    <xdr:to>
      <xdr:col>5</xdr:col>
      <xdr:colOff>417706</xdr:colOff>
      <xdr:row>7</xdr:row>
      <xdr:rowOff>2614881</xdr:rowOff>
    </xdr:to>
    <xdr:sp macro="" textlink="">
      <xdr:nvSpPr>
        <xdr:cNvPr id="151" name="Полилиния 150"/>
        <xdr:cNvSpPr/>
      </xdr:nvSpPr>
      <xdr:spPr>
        <a:xfrm>
          <a:off x="3390739" y="8333384"/>
          <a:ext cx="1529272" cy="1251009"/>
        </a:xfrm>
        <a:custGeom>
          <a:avLst/>
          <a:gdLst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167848 w 1532283"/>
            <a:gd name="connsiteY4" fmla="*/ 0 h 1250674"/>
            <a:gd name="connsiteX5" fmla="*/ 1532283 w 1532283"/>
            <a:gd name="connsiteY5" fmla="*/ 0 h 1250674"/>
            <a:gd name="connsiteX6" fmla="*/ 1532283 w 1532283"/>
            <a:gd name="connsiteY6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69369 h 1269369"/>
            <a:gd name="connsiteX1" fmla="*/ 0 w 1532283"/>
            <a:gd name="connsiteY1" fmla="*/ 886239 h 1269369"/>
            <a:gd name="connsiteX2" fmla="*/ 1034162 w 1532283"/>
            <a:gd name="connsiteY2" fmla="*/ 881910 h 1269369"/>
            <a:gd name="connsiteX3" fmla="*/ 1034162 w 1532283"/>
            <a:gd name="connsiteY3" fmla="*/ 0 h 1269369"/>
            <a:gd name="connsiteX4" fmla="*/ 1532283 w 1532283"/>
            <a:gd name="connsiteY4" fmla="*/ 0 h 1269369"/>
            <a:gd name="connsiteX5" fmla="*/ 1532283 w 1532283"/>
            <a:gd name="connsiteY5" fmla="*/ 1250674 h 1269369"/>
            <a:gd name="connsiteX0" fmla="*/ 0 w 1532283"/>
            <a:gd name="connsiteY0" fmla="*/ 1236712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53041 h 1253041"/>
            <a:gd name="connsiteX1" fmla="*/ 0 w 1532283"/>
            <a:gd name="connsiteY1" fmla="*/ 886239 h 1253041"/>
            <a:gd name="connsiteX2" fmla="*/ 1034162 w 1532283"/>
            <a:gd name="connsiteY2" fmla="*/ 881910 h 1253041"/>
            <a:gd name="connsiteX3" fmla="*/ 1034162 w 1532283"/>
            <a:gd name="connsiteY3" fmla="*/ 0 h 1253041"/>
            <a:gd name="connsiteX4" fmla="*/ 1532283 w 1532283"/>
            <a:gd name="connsiteY4" fmla="*/ 0 h 1253041"/>
            <a:gd name="connsiteX5" fmla="*/ 1532283 w 1532283"/>
            <a:gd name="connsiteY5" fmla="*/ 1250674 h 1253041"/>
            <a:gd name="connsiteX0" fmla="*/ 5961 w 1532283"/>
            <a:gd name="connsiteY0" fmla="*/ 1264947 h 1264947"/>
            <a:gd name="connsiteX1" fmla="*/ 0 w 1532283"/>
            <a:gd name="connsiteY1" fmla="*/ 886239 h 1264947"/>
            <a:gd name="connsiteX2" fmla="*/ 1034162 w 1532283"/>
            <a:gd name="connsiteY2" fmla="*/ 881910 h 1264947"/>
            <a:gd name="connsiteX3" fmla="*/ 1034162 w 1532283"/>
            <a:gd name="connsiteY3" fmla="*/ 0 h 1264947"/>
            <a:gd name="connsiteX4" fmla="*/ 1532283 w 1532283"/>
            <a:gd name="connsiteY4" fmla="*/ 0 h 1264947"/>
            <a:gd name="connsiteX5" fmla="*/ 1532283 w 1532283"/>
            <a:gd name="connsiteY5" fmla="*/ 1250674 h 1264947"/>
            <a:gd name="connsiteX0" fmla="*/ 5961 w 1532283"/>
            <a:gd name="connsiteY0" fmla="*/ 1264947 h 1264947"/>
            <a:gd name="connsiteX1" fmla="*/ 0 w 1532283"/>
            <a:gd name="connsiteY1" fmla="*/ 886239 h 1264947"/>
            <a:gd name="connsiteX2" fmla="*/ 1034162 w 1532283"/>
            <a:gd name="connsiteY2" fmla="*/ 881910 h 1264947"/>
            <a:gd name="connsiteX3" fmla="*/ 1034162 w 1532283"/>
            <a:gd name="connsiteY3" fmla="*/ 0 h 1264947"/>
            <a:gd name="connsiteX4" fmla="*/ 1532283 w 1532283"/>
            <a:gd name="connsiteY4" fmla="*/ 0 h 1264947"/>
            <a:gd name="connsiteX5" fmla="*/ 1532283 w 1532283"/>
            <a:gd name="connsiteY5" fmla="*/ 1250674 h 1264947"/>
            <a:gd name="connsiteX6" fmla="*/ 5961 w 1532283"/>
            <a:gd name="connsiteY6" fmla="*/ 1264947 h 1264947"/>
            <a:gd name="connsiteX0" fmla="*/ 0 w 1535635"/>
            <a:gd name="connsiteY0" fmla="*/ 1260301 h 1260301"/>
            <a:gd name="connsiteX1" fmla="*/ 3352 w 1535635"/>
            <a:gd name="connsiteY1" fmla="*/ 886239 h 1260301"/>
            <a:gd name="connsiteX2" fmla="*/ 1037514 w 1535635"/>
            <a:gd name="connsiteY2" fmla="*/ 881910 h 1260301"/>
            <a:gd name="connsiteX3" fmla="*/ 1037514 w 1535635"/>
            <a:gd name="connsiteY3" fmla="*/ 0 h 1260301"/>
            <a:gd name="connsiteX4" fmla="*/ 1535635 w 1535635"/>
            <a:gd name="connsiteY4" fmla="*/ 0 h 1260301"/>
            <a:gd name="connsiteX5" fmla="*/ 1535635 w 1535635"/>
            <a:gd name="connsiteY5" fmla="*/ 1250674 h 1260301"/>
            <a:gd name="connsiteX6" fmla="*/ 0 w 1535635"/>
            <a:gd name="connsiteY6" fmla="*/ 1260301 h 1260301"/>
            <a:gd name="connsiteX0" fmla="*/ 1526 w 1532504"/>
            <a:gd name="connsiteY0" fmla="*/ 1251009 h 1251009"/>
            <a:gd name="connsiteX1" fmla="*/ 221 w 1532504"/>
            <a:gd name="connsiteY1" fmla="*/ 886239 h 1251009"/>
            <a:gd name="connsiteX2" fmla="*/ 1034383 w 1532504"/>
            <a:gd name="connsiteY2" fmla="*/ 881910 h 1251009"/>
            <a:gd name="connsiteX3" fmla="*/ 1034383 w 1532504"/>
            <a:gd name="connsiteY3" fmla="*/ 0 h 1251009"/>
            <a:gd name="connsiteX4" fmla="*/ 1532504 w 1532504"/>
            <a:gd name="connsiteY4" fmla="*/ 0 h 1251009"/>
            <a:gd name="connsiteX5" fmla="*/ 1532504 w 1532504"/>
            <a:gd name="connsiteY5" fmla="*/ 1250674 h 1251009"/>
            <a:gd name="connsiteX6" fmla="*/ 1526 w 1532504"/>
            <a:gd name="connsiteY6" fmla="*/ 1251009 h 12510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532504" h="1251009">
              <a:moveTo>
                <a:pt x="1526" y="1251009"/>
              </a:moveTo>
              <a:cubicBezTo>
                <a:pt x="2643" y="1126322"/>
                <a:pt x="-896" y="1010926"/>
                <a:pt x="221" y="886239"/>
              </a:cubicBezTo>
              <a:lnTo>
                <a:pt x="1034383" y="881910"/>
              </a:lnTo>
              <a:lnTo>
                <a:pt x="1034383" y="0"/>
              </a:lnTo>
              <a:lnTo>
                <a:pt x="1532504" y="0"/>
              </a:lnTo>
              <a:lnTo>
                <a:pt x="1532504" y="1250674"/>
              </a:lnTo>
              <a:lnTo>
                <a:pt x="1526" y="1251009"/>
              </a:lnTo>
              <a:close/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748061</xdr:colOff>
      <xdr:row>7</xdr:row>
      <xdr:rowOff>1957474</xdr:rowOff>
    </xdr:from>
    <xdr:to>
      <xdr:col>4</xdr:col>
      <xdr:colOff>483220</xdr:colOff>
      <xdr:row>7</xdr:row>
      <xdr:rowOff>2742706</xdr:rowOff>
    </xdr:to>
    <xdr:sp macro="" textlink="">
      <xdr:nvSpPr>
        <xdr:cNvPr id="154" name="Полилиния 153"/>
        <xdr:cNvSpPr/>
      </xdr:nvSpPr>
      <xdr:spPr>
        <a:xfrm>
          <a:off x="2290646" y="8926986"/>
          <a:ext cx="1314915" cy="785232"/>
        </a:xfrm>
        <a:custGeom>
          <a:avLst/>
          <a:gdLst>
            <a:gd name="connsiteX0" fmla="*/ 2824976 w 2824976"/>
            <a:gd name="connsiteY0" fmla="*/ 427464 h 748061"/>
            <a:gd name="connsiteX1" fmla="*/ 2824976 w 2824976"/>
            <a:gd name="connsiteY1" fmla="*/ 0 h 748061"/>
            <a:gd name="connsiteX2" fmla="*/ 1983988 w 2824976"/>
            <a:gd name="connsiteY2" fmla="*/ 0 h 748061"/>
            <a:gd name="connsiteX3" fmla="*/ 1983988 w 2824976"/>
            <a:gd name="connsiteY3" fmla="*/ 748061 h 748061"/>
            <a:gd name="connsiteX4" fmla="*/ 0 w 2824976"/>
            <a:gd name="connsiteY4" fmla="*/ 748061 h 748061"/>
            <a:gd name="connsiteX0" fmla="*/ 2824976 w 2824976"/>
            <a:gd name="connsiteY0" fmla="*/ 427464 h 752707"/>
            <a:gd name="connsiteX1" fmla="*/ 2824976 w 2824976"/>
            <a:gd name="connsiteY1" fmla="*/ 0 h 752707"/>
            <a:gd name="connsiteX2" fmla="*/ 1983988 w 2824976"/>
            <a:gd name="connsiteY2" fmla="*/ 0 h 752707"/>
            <a:gd name="connsiteX3" fmla="*/ 1054720 w 2824976"/>
            <a:gd name="connsiteY3" fmla="*/ 752707 h 752707"/>
            <a:gd name="connsiteX4" fmla="*/ 0 w 2824976"/>
            <a:gd name="connsiteY4" fmla="*/ 748061 h 752707"/>
            <a:gd name="connsiteX0" fmla="*/ 2824976 w 2824976"/>
            <a:gd name="connsiteY0" fmla="*/ 427464 h 1533293"/>
            <a:gd name="connsiteX1" fmla="*/ 2824976 w 2824976"/>
            <a:gd name="connsiteY1" fmla="*/ 0 h 1533293"/>
            <a:gd name="connsiteX2" fmla="*/ 1050074 w 2824976"/>
            <a:gd name="connsiteY2" fmla="*/ 1533293 h 1533293"/>
            <a:gd name="connsiteX3" fmla="*/ 1054720 w 2824976"/>
            <a:gd name="connsiteY3" fmla="*/ 752707 h 1533293"/>
            <a:gd name="connsiteX4" fmla="*/ 0 w 2824976"/>
            <a:gd name="connsiteY4" fmla="*/ 748061 h 1533293"/>
            <a:gd name="connsiteX0" fmla="*/ 2824976 w 2824976"/>
            <a:gd name="connsiteY0" fmla="*/ 0 h 1105829"/>
            <a:gd name="connsiteX1" fmla="*/ 1314915 w 2824976"/>
            <a:gd name="connsiteY1" fmla="*/ 1105829 h 1105829"/>
            <a:gd name="connsiteX2" fmla="*/ 1050074 w 2824976"/>
            <a:gd name="connsiteY2" fmla="*/ 1105829 h 1105829"/>
            <a:gd name="connsiteX3" fmla="*/ 1054720 w 2824976"/>
            <a:gd name="connsiteY3" fmla="*/ 325243 h 1105829"/>
            <a:gd name="connsiteX4" fmla="*/ 0 w 2824976"/>
            <a:gd name="connsiteY4" fmla="*/ 320597 h 1105829"/>
            <a:gd name="connsiteX0" fmla="*/ 1314915 w 1314915"/>
            <a:gd name="connsiteY0" fmla="*/ 785232 h 785232"/>
            <a:gd name="connsiteX1" fmla="*/ 1050074 w 1314915"/>
            <a:gd name="connsiteY1" fmla="*/ 785232 h 785232"/>
            <a:gd name="connsiteX2" fmla="*/ 1054720 w 1314915"/>
            <a:gd name="connsiteY2" fmla="*/ 4646 h 785232"/>
            <a:gd name="connsiteX3" fmla="*/ 0 w 1314915"/>
            <a:gd name="connsiteY3" fmla="*/ 0 h 7852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4915" h="785232">
              <a:moveTo>
                <a:pt x="1314915" y="785232"/>
              </a:moveTo>
              <a:lnTo>
                <a:pt x="1050074" y="785232"/>
              </a:lnTo>
              <a:cubicBezTo>
                <a:pt x="1051623" y="525037"/>
                <a:pt x="1053171" y="264841"/>
                <a:pt x="1054720" y="4646"/>
              </a:cubicBezTo>
              <a:lnTo>
                <a:pt x="0" y="0"/>
              </a:lnTo>
            </a:path>
          </a:pathLst>
        </a:custGeom>
        <a:noFill/>
        <a:ln w="317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1061416</xdr:colOff>
      <xdr:row>6</xdr:row>
      <xdr:rowOff>301488</xdr:rowOff>
    </xdr:from>
    <xdr:to>
      <xdr:col>4</xdr:col>
      <xdr:colOff>1359591</xdr:colOff>
      <xdr:row>6</xdr:row>
      <xdr:rowOff>1166924</xdr:rowOff>
    </xdr:to>
    <xdr:grpSp>
      <xdr:nvGrpSpPr>
        <xdr:cNvPr id="156" name="Группа 155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4185616" y="5749788"/>
          <a:ext cx="298175" cy="865436"/>
          <a:chOff x="635632" y="15053070"/>
          <a:chExt cx="102554" cy="297657"/>
        </a:xfrm>
      </xdr:grpSpPr>
      <xdr:sp macro="" textlink="">
        <xdr:nvSpPr>
          <xdr:cNvPr id="157" name="Прямоугольник 156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8" name="Овал 157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9" name="Овал 158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0" name="Овал 159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696058</xdr:colOff>
      <xdr:row>5</xdr:row>
      <xdr:rowOff>923192</xdr:rowOff>
    </xdr:from>
    <xdr:to>
      <xdr:col>3</xdr:col>
      <xdr:colOff>769327</xdr:colOff>
      <xdr:row>5</xdr:row>
      <xdr:rowOff>1003788</xdr:rowOff>
    </xdr:to>
    <xdr:sp macro="" textlink="">
      <xdr:nvSpPr>
        <xdr:cNvPr id="2" name="Прямоугольник 1"/>
        <xdr:cNvSpPr/>
      </xdr:nvSpPr>
      <xdr:spPr>
        <a:xfrm>
          <a:off x="2234712" y="4850423"/>
          <a:ext cx="73269" cy="80596"/>
        </a:xfrm>
        <a:prstGeom prst="rect">
          <a:avLst/>
        </a:prstGeom>
        <a:solidFill>
          <a:schemeClr val="bg1"/>
        </a:solidFill>
        <a:ln w="19050">
          <a:solidFill>
            <a:schemeClr val="bg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176893</xdr:colOff>
      <xdr:row>0</xdr:row>
      <xdr:rowOff>7203</xdr:rowOff>
    </xdr:from>
    <xdr:to>
      <xdr:col>2</xdr:col>
      <xdr:colOff>430092</xdr:colOff>
      <xdr:row>3</xdr:row>
      <xdr:rowOff>15533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7203"/>
          <a:ext cx="1216905" cy="680683"/>
        </a:xfrm>
        <a:prstGeom prst="rect">
          <a:avLst/>
        </a:prstGeom>
      </xdr:spPr>
    </xdr:pic>
    <xdr:clientData/>
  </xdr:twoCellAnchor>
  <xdr:twoCellAnchor editAs="oneCell">
    <xdr:from>
      <xdr:col>4</xdr:col>
      <xdr:colOff>508271</xdr:colOff>
      <xdr:row>4</xdr:row>
      <xdr:rowOff>94532</xdr:rowOff>
    </xdr:from>
    <xdr:to>
      <xdr:col>4</xdr:col>
      <xdr:colOff>1124727</xdr:colOff>
      <xdr:row>4</xdr:row>
      <xdr:rowOff>704185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471" y="970832"/>
          <a:ext cx="616456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133751</xdr:colOff>
      <xdr:row>4</xdr:row>
      <xdr:rowOff>81962</xdr:rowOff>
    </xdr:from>
    <xdr:to>
      <xdr:col>5</xdr:col>
      <xdr:colOff>748526</xdr:colOff>
      <xdr:row>4</xdr:row>
      <xdr:rowOff>691615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076" y="958262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832265</xdr:colOff>
      <xdr:row>4</xdr:row>
      <xdr:rowOff>78441</xdr:rowOff>
    </xdr:from>
    <xdr:to>
      <xdr:col>3</xdr:col>
      <xdr:colOff>832265</xdr:colOff>
      <xdr:row>4</xdr:row>
      <xdr:rowOff>1390397</xdr:rowOff>
    </xdr:to>
    <xdr:cxnSp macro="">
      <xdr:nvCxnSpPr>
        <xdr:cNvPr id="99" name="Прямая со стрелкой 9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78677" y="974912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791272</xdr:colOff>
      <xdr:row>4</xdr:row>
      <xdr:rowOff>1372698</xdr:rowOff>
    </xdr:from>
    <xdr:to>
      <xdr:col>3</xdr:col>
      <xdr:colOff>863272</xdr:colOff>
      <xdr:row>4</xdr:row>
      <xdr:rowOff>1444698</xdr:rowOff>
    </xdr:to>
    <xdr:sp macro="" textlink="">
      <xdr:nvSpPr>
        <xdr:cNvPr id="100" name="Овал 9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37684" y="226916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1005944</xdr:colOff>
      <xdr:row>4</xdr:row>
      <xdr:rowOff>716685</xdr:rowOff>
    </xdr:from>
    <xdr:to>
      <xdr:col>3</xdr:col>
      <xdr:colOff>1077944</xdr:colOff>
      <xdr:row>4</xdr:row>
      <xdr:rowOff>788685</xdr:rowOff>
    </xdr:to>
    <xdr:sp macro="" textlink="">
      <xdr:nvSpPr>
        <xdr:cNvPr id="101" name="5-конечная звезда 10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52356" y="161315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571500</xdr:colOff>
      <xdr:row>4</xdr:row>
      <xdr:rowOff>724012</xdr:rowOff>
    </xdr:from>
    <xdr:to>
      <xdr:col>3</xdr:col>
      <xdr:colOff>643500</xdr:colOff>
      <xdr:row>4</xdr:row>
      <xdr:rowOff>796012</xdr:rowOff>
    </xdr:to>
    <xdr:sp macro="" textlink="">
      <xdr:nvSpPr>
        <xdr:cNvPr id="102" name="5-конечная звезда 101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117912" y="162048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802084</xdr:colOff>
      <xdr:row>5</xdr:row>
      <xdr:rowOff>78441</xdr:rowOff>
    </xdr:from>
    <xdr:to>
      <xdr:col>3</xdr:col>
      <xdr:colOff>802084</xdr:colOff>
      <xdr:row>5</xdr:row>
      <xdr:rowOff>1370368</xdr:rowOff>
    </xdr:to>
    <xdr:cxnSp macro="">
      <xdr:nvCxnSpPr>
        <xdr:cNvPr id="103" name="Прямая со стрелкой 10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8496" y="2498912"/>
          <a:ext cx="0" cy="129192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761091</xdr:colOff>
      <xdr:row>5</xdr:row>
      <xdr:rowOff>1352672</xdr:rowOff>
    </xdr:from>
    <xdr:to>
      <xdr:col>3</xdr:col>
      <xdr:colOff>833091</xdr:colOff>
      <xdr:row>5</xdr:row>
      <xdr:rowOff>1424672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7503" y="377314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811190</xdr:colOff>
      <xdr:row>5</xdr:row>
      <xdr:rowOff>561564</xdr:rowOff>
    </xdr:from>
    <xdr:to>
      <xdr:col>3</xdr:col>
      <xdr:colOff>1492195</xdr:colOff>
      <xdr:row>5</xdr:row>
      <xdr:rowOff>762000</xdr:rowOff>
    </xdr:to>
    <xdr:cxnSp macro="">
      <xdr:nvCxnSpPr>
        <xdr:cNvPr id="105" name="Прямая со стрелкой 10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51755" y="2946955"/>
          <a:ext cx="681005" cy="200436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78444</xdr:colOff>
      <xdr:row>5</xdr:row>
      <xdr:rowOff>769009</xdr:rowOff>
    </xdr:from>
    <xdr:to>
      <xdr:col>3</xdr:col>
      <xdr:colOff>805543</xdr:colOff>
      <xdr:row>5</xdr:row>
      <xdr:rowOff>769009</xdr:rowOff>
    </xdr:to>
    <xdr:cxnSp macro="">
      <xdr:nvCxnSpPr>
        <xdr:cNvPr id="106" name="Прямая со стрелкой 10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24215" y="3163866"/>
          <a:ext cx="727099" cy="0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98241</xdr:colOff>
      <xdr:row>8</xdr:row>
      <xdr:rowOff>676792</xdr:rowOff>
    </xdr:from>
    <xdr:to>
      <xdr:col>3</xdr:col>
      <xdr:colOff>1454970</xdr:colOff>
      <xdr:row>8</xdr:row>
      <xdr:rowOff>742406</xdr:rowOff>
    </xdr:to>
    <xdr:cxnSp macro="">
      <xdr:nvCxnSpPr>
        <xdr:cNvPr id="111" name="Прямая со стрелкой 11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41291" y="7649092"/>
          <a:ext cx="1356729" cy="65614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649042</xdr:colOff>
      <xdr:row>8</xdr:row>
      <xdr:rowOff>1324460</xdr:rowOff>
    </xdr:from>
    <xdr:to>
      <xdr:col>3</xdr:col>
      <xdr:colOff>721042</xdr:colOff>
      <xdr:row>8</xdr:row>
      <xdr:rowOff>1396460</xdr:rowOff>
    </xdr:to>
    <xdr:sp macro="" textlink="">
      <xdr:nvSpPr>
        <xdr:cNvPr id="112" name="Овал 11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192092" y="829676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820000</xdr:colOff>
      <xdr:row>8</xdr:row>
      <xdr:rowOff>109384</xdr:rowOff>
    </xdr:from>
    <xdr:to>
      <xdr:col>3</xdr:col>
      <xdr:colOff>927422</xdr:colOff>
      <xdr:row>8</xdr:row>
      <xdr:rowOff>689948</xdr:rowOff>
    </xdr:to>
    <xdr:cxnSp macro="">
      <xdr:nvCxnSpPr>
        <xdr:cNvPr id="113" name="Прямая со стрелкой 11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 flipH="1" flipV="1">
          <a:off x="2363050" y="7081684"/>
          <a:ext cx="107422" cy="580564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688763</xdr:colOff>
      <xdr:row>8</xdr:row>
      <xdr:rowOff>1002196</xdr:rowOff>
    </xdr:from>
    <xdr:to>
      <xdr:col>3</xdr:col>
      <xdr:colOff>688764</xdr:colOff>
      <xdr:row>8</xdr:row>
      <xdr:rowOff>1365245</xdr:rowOff>
    </xdr:to>
    <xdr:cxnSp macro="">
      <xdr:nvCxnSpPr>
        <xdr:cNvPr id="114" name="Прямая со стрелкой 11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29328" y="7959587"/>
          <a:ext cx="1" cy="363049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111672</xdr:colOff>
      <xdr:row>9</xdr:row>
      <xdr:rowOff>551794</xdr:rowOff>
    </xdr:from>
    <xdr:to>
      <xdr:col>3</xdr:col>
      <xdr:colOff>1471448</xdr:colOff>
      <xdr:row>9</xdr:row>
      <xdr:rowOff>893380</xdr:rowOff>
    </xdr:to>
    <xdr:cxnSp macro="">
      <xdr:nvCxnSpPr>
        <xdr:cNvPr id="136" name="Прямая со стрелкой 13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48810" y="9038897"/>
          <a:ext cx="1359776" cy="341586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741008</xdr:colOff>
      <xdr:row>9</xdr:row>
      <xdr:rowOff>1343510</xdr:rowOff>
    </xdr:from>
    <xdr:to>
      <xdr:col>3</xdr:col>
      <xdr:colOff>813008</xdr:colOff>
      <xdr:row>9</xdr:row>
      <xdr:rowOff>1415510</xdr:rowOff>
    </xdr:to>
    <xdr:sp macro="" textlink="">
      <xdr:nvSpPr>
        <xdr:cNvPr id="137" name="Овал 13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278146" y="983061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617483</xdr:colOff>
      <xdr:row>9</xdr:row>
      <xdr:rowOff>710816</xdr:rowOff>
    </xdr:from>
    <xdr:to>
      <xdr:col>3</xdr:col>
      <xdr:colOff>709276</xdr:colOff>
      <xdr:row>9</xdr:row>
      <xdr:rowOff>1037897</xdr:rowOff>
    </xdr:to>
    <xdr:cxnSp macro="">
      <xdr:nvCxnSpPr>
        <xdr:cNvPr id="138" name="Прямая со стрелкой 13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154621" y="9197919"/>
          <a:ext cx="91793" cy="327081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768957</xdr:colOff>
      <xdr:row>9</xdr:row>
      <xdr:rowOff>726671</xdr:rowOff>
    </xdr:from>
    <xdr:to>
      <xdr:col>3</xdr:col>
      <xdr:colOff>796622</xdr:colOff>
      <xdr:row>9</xdr:row>
      <xdr:rowOff>1384011</xdr:rowOff>
    </xdr:to>
    <xdr:cxnSp macro="">
      <xdr:nvCxnSpPr>
        <xdr:cNvPr id="139" name="Прямая со стрелкой 13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>
          <a:off x="2306095" y="9213774"/>
          <a:ext cx="27665" cy="657340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756987</xdr:colOff>
      <xdr:row>10</xdr:row>
      <xdr:rowOff>771525</xdr:rowOff>
    </xdr:from>
    <xdr:to>
      <xdr:col>3</xdr:col>
      <xdr:colOff>756987</xdr:colOff>
      <xdr:row>10</xdr:row>
      <xdr:rowOff>1451681</xdr:rowOff>
    </xdr:to>
    <xdr:cxnSp macro="">
      <xdr:nvCxnSpPr>
        <xdr:cNvPr id="143" name="Прямая со стрелкой 14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2294125" y="10782628"/>
          <a:ext cx="0" cy="6801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145676</xdr:colOff>
      <xdr:row>10</xdr:row>
      <xdr:rowOff>803698</xdr:rowOff>
    </xdr:from>
    <xdr:to>
      <xdr:col>3</xdr:col>
      <xdr:colOff>753190</xdr:colOff>
      <xdr:row>10</xdr:row>
      <xdr:rowOff>1426164</xdr:rowOff>
    </xdr:to>
    <xdr:cxnSp macro="">
      <xdr:nvCxnSpPr>
        <xdr:cNvPr id="144" name="Прямая со стрелкой 14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84330" y="10826929"/>
          <a:ext cx="607514" cy="622466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787424</xdr:colOff>
      <xdr:row>10</xdr:row>
      <xdr:rowOff>809840</xdr:rowOff>
    </xdr:from>
    <xdr:to>
      <xdr:col>3</xdr:col>
      <xdr:colOff>1120588</xdr:colOff>
      <xdr:row>10</xdr:row>
      <xdr:rowOff>887397</xdr:rowOff>
    </xdr:to>
    <xdr:cxnSp macro="">
      <xdr:nvCxnSpPr>
        <xdr:cNvPr id="145" name="Прямая со стрелкой 14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33836" y="10850311"/>
          <a:ext cx="333164" cy="77557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721701</xdr:colOff>
      <xdr:row>10</xdr:row>
      <xdr:rowOff>1390650</xdr:rowOff>
    </xdr:from>
    <xdr:to>
      <xdr:col>3</xdr:col>
      <xdr:colOff>793701</xdr:colOff>
      <xdr:row>10</xdr:row>
      <xdr:rowOff>1462650</xdr:rowOff>
    </xdr:to>
    <xdr:sp macro="" textlink="">
      <xdr:nvSpPr>
        <xdr:cNvPr id="146" name="Овал 14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0966125">
          <a:off x="2258839" y="1140175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681240</xdr:colOff>
      <xdr:row>10</xdr:row>
      <xdr:rowOff>144518</xdr:rowOff>
    </xdr:from>
    <xdr:to>
      <xdr:col>3</xdr:col>
      <xdr:colOff>766847</xdr:colOff>
      <xdr:row>10</xdr:row>
      <xdr:rowOff>775138</xdr:rowOff>
    </xdr:to>
    <xdr:sp macro="" textlink="">
      <xdr:nvSpPr>
        <xdr:cNvPr id="150" name="Полилиния 149"/>
        <xdr:cNvSpPr/>
      </xdr:nvSpPr>
      <xdr:spPr>
        <a:xfrm>
          <a:off x="2227652" y="10184989"/>
          <a:ext cx="85607" cy="630620"/>
        </a:xfrm>
        <a:custGeom>
          <a:avLst/>
          <a:gdLst>
            <a:gd name="connsiteX0" fmla="*/ 85397 w 85607"/>
            <a:gd name="connsiteY0" fmla="*/ 630620 h 630620"/>
            <a:gd name="connsiteX1" fmla="*/ 72259 w 85607"/>
            <a:gd name="connsiteY1" fmla="*/ 348155 h 630620"/>
            <a:gd name="connsiteX2" fmla="*/ 0 w 85607"/>
            <a:gd name="connsiteY2" fmla="*/ 0 h 6306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5607" h="630620">
              <a:moveTo>
                <a:pt x="85397" y="630620"/>
              </a:moveTo>
              <a:cubicBezTo>
                <a:pt x="85944" y="541939"/>
                <a:pt x="86492" y="453258"/>
                <a:pt x="72259" y="348155"/>
              </a:cubicBezTo>
              <a:cubicBezTo>
                <a:pt x="58026" y="243052"/>
                <a:pt x="0" y="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766637</xdr:colOff>
      <xdr:row>10</xdr:row>
      <xdr:rowOff>151087</xdr:rowOff>
    </xdr:from>
    <xdr:to>
      <xdr:col>3</xdr:col>
      <xdr:colOff>891447</xdr:colOff>
      <xdr:row>10</xdr:row>
      <xdr:rowOff>775138</xdr:rowOff>
    </xdr:to>
    <xdr:sp macro="" textlink="">
      <xdr:nvSpPr>
        <xdr:cNvPr id="151" name="Полилиния 150"/>
        <xdr:cNvSpPr/>
      </xdr:nvSpPr>
      <xdr:spPr>
        <a:xfrm>
          <a:off x="2313049" y="10191558"/>
          <a:ext cx="124810" cy="624051"/>
        </a:xfrm>
        <a:custGeom>
          <a:avLst/>
          <a:gdLst>
            <a:gd name="connsiteX0" fmla="*/ 0 w 124810"/>
            <a:gd name="connsiteY0" fmla="*/ 624051 h 624051"/>
            <a:gd name="connsiteX1" fmla="*/ 32845 w 124810"/>
            <a:gd name="connsiteY1" fmla="*/ 295603 h 624051"/>
            <a:gd name="connsiteX2" fmla="*/ 124810 w 124810"/>
            <a:gd name="connsiteY2" fmla="*/ 0 h 6240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810" h="624051">
              <a:moveTo>
                <a:pt x="0" y="624051"/>
              </a:moveTo>
              <a:cubicBezTo>
                <a:pt x="6021" y="511831"/>
                <a:pt x="12043" y="399611"/>
                <a:pt x="32845" y="295603"/>
              </a:cubicBezTo>
              <a:cubicBezTo>
                <a:pt x="53647" y="191594"/>
                <a:pt x="124810" y="0"/>
                <a:pt x="12481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559339</xdr:colOff>
      <xdr:row>11</xdr:row>
      <xdr:rowOff>159791</xdr:rowOff>
    </xdr:from>
    <xdr:to>
      <xdr:col>3</xdr:col>
      <xdr:colOff>986434</xdr:colOff>
      <xdr:row>12</xdr:row>
      <xdr:rowOff>170235</xdr:rowOff>
    </xdr:to>
    <xdr:grpSp>
      <xdr:nvGrpSpPr>
        <xdr:cNvPr id="165" name="Группа 164"/>
        <xdr:cNvGrpSpPr/>
      </xdr:nvGrpSpPr>
      <xdr:grpSpPr>
        <a:xfrm>
          <a:off x="1523045" y="11724262"/>
          <a:ext cx="1009801" cy="1534444"/>
          <a:chOff x="1518408" y="11694894"/>
          <a:chExt cx="1005164" cy="1534444"/>
        </a:xfrm>
      </xdr:grpSpPr>
      <xdr:sp macro="" textlink="">
        <xdr:nvSpPr>
          <xdr:cNvPr id="153" name="Овал 152">
            <a:extLst>
              <a:ext uri="{FF2B5EF4-FFF2-40B4-BE49-F238E27FC236}">
                <a16:creationId xmlns:a16="http://schemas.microsoft.com/office/drawing/2014/main" id="{00000000-0008-0000-0900-000034020000}"/>
              </a:ext>
            </a:extLst>
          </xdr:cNvPr>
          <xdr:cNvSpPr/>
        </xdr:nvSpPr>
        <xdr:spPr>
          <a:xfrm rot="10966125">
            <a:off x="2339526" y="12884727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4" name="Полилиния 153"/>
          <xdr:cNvSpPr/>
        </xdr:nvSpPr>
        <xdr:spPr>
          <a:xfrm>
            <a:off x="2382767" y="11694894"/>
            <a:ext cx="140805" cy="1225826"/>
          </a:xfrm>
          <a:custGeom>
            <a:avLst/>
            <a:gdLst>
              <a:gd name="connsiteX0" fmla="*/ 0 w 140805"/>
              <a:gd name="connsiteY0" fmla="*/ 1225826 h 1225826"/>
              <a:gd name="connsiteX1" fmla="*/ 41413 w 140805"/>
              <a:gd name="connsiteY1" fmla="*/ 828261 h 1225826"/>
              <a:gd name="connsiteX2" fmla="*/ 82826 w 140805"/>
              <a:gd name="connsiteY2" fmla="*/ 289891 h 1225826"/>
              <a:gd name="connsiteX3" fmla="*/ 140805 w 140805"/>
              <a:gd name="connsiteY3" fmla="*/ 0 h 122582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40805" h="1225826">
                <a:moveTo>
                  <a:pt x="0" y="1225826"/>
                </a:moveTo>
                <a:cubicBezTo>
                  <a:pt x="13804" y="1105038"/>
                  <a:pt x="27609" y="984250"/>
                  <a:pt x="41413" y="828261"/>
                </a:cubicBezTo>
                <a:cubicBezTo>
                  <a:pt x="55217" y="672272"/>
                  <a:pt x="66261" y="427934"/>
                  <a:pt x="82826" y="289891"/>
                </a:cubicBezTo>
                <a:cubicBezTo>
                  <a:pt x="99391" y="151847"/>
                  <a:pt x="120098" y="75923"/>
                  <a:pt x="14080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0" name="Полилиния 159"/>
          <xdr:cNvSpPr/>
        </xdr:nvSpPr>
        <xdr:spPr>
          <a:xfrm>
            <a:off x="1797912" y="11811495"/>
            <a:ext cx="692305" cy="571500"/>
          </a:xfrm>
          <a:custGeom>
            <a:avLst/>
            <a:gdLst>
              <a:gd name="connsiteX0" fmla="*/ 0 w 692305"/>
              <a:gd name="connsiteY0" fmla="*/ 571500 h 571500"/>
              <a:gd name="connsiteX1" fmla="*/ 227671 w 692305"/>
              <a:gd name="connsiteY1" fmla="*/ 446048 h 571500"/>
              <a:gd name="connsiteX2" fmla="*/ 511097 w 692305"/>
              <a:gd name="connsiteY2" fmla="*/ 218378 h 571500"/>
              <a:gd name="connsiteX3" fmla="*/ 692305 w 692305"/>
              <a:gd name="connsiteY3" fmla="*/ 0 h 5715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692305" h="571500">
                <a:moveTo>
                  <a:pt x="0" y="571500"/>
                </a:moveTo>
                <a:cubicBezTo>
                  <a:pt x="71244" y="538201"/>
                  <a:pt x="142488" y="504902"/>
                  <a:pt x="227671" y="446048"/>
                </a:cubicBezTo>
                <a:cubicBezTo>
                  <a:pt x="312854" y="387194"/>
                  <a:pt x="433658" y="292719"/>
                  <a:pt x="511097" y="218378"/>
                </a:cubicBezTo>
                <a:cubicBezTo>
                  <a:pt x="588536" y="144037"/>
                  <a:pt x="692305" y="0"/>
                  <a:pt x="69230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3" name="Полилиния 162"/>
          <xdr:cNvSpPr/>
        </xdr:nvSpPr>
        <xdr:spPr>
          <a:xfrm>
            <a:off x="1876321" y="11731336"/>
            <a:ext cx="381000" cy="724829"/>
          </a:xfrm>
          <a:custGeom>
            <a:avLst/>
            <a:gdLst>
              <a:gd name="connsiteX0" fmla="*/ 381000 w 381000"/>
              <a:gd name="connsiteY0" fmla="*/ 724829 h 724829"/>
              <a:gd name="connsiteX1" fmla="*/ 269488 w 381000"/>
              <a:gd name="connsiteY1" fmla="*/ 585439 h 724829"/>
              <a:gd name="connsiteX2" fmla="*/ 130098 w 381000"/>
              <a:gd name="connsiteY2" fmla="*/ 357768 h 724829"/>
              <a:gd name="connsiteX3" fmla="*/ 0 w 381000"/>
              <a:gd name="connsiteY3" fmla="*/ 0 h 72482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81000" h="724829">
                <a:moveTo>
                  <a:pt x="381000" y="724829"/>
                </a:moveTo>
                <a:cubicBezTo>
                  <a:pt x="346152" y="685722"/>
                  <a:pt x="311305" y="646616"/>
                  <a:pt x="269488" y="585439"/>
                </a:cubicBezTo>
                <a:cubicBezTo>
                  <a:pt x="227671" y="524262"/>
                  <a:pt x="175013" y="455341"/>
                  <a:pt x="130098" y="357768"/>
                </a:cubicBezTo>
                <a:cubicBezTo>
                  <a:pt x="85183" y="260195"/>
                  <a:pt x="42591" y="130097"/>
                  <a:pt x="0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triangl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4" name="Дуга 163"/>
          <xdr:cNvSpPr/>
        </xdr:nvSpPr>
        <xdr:spPr>
          <a:xfrm rot="10628886">
            <a:off x="1518408" y="12341689"/>
            <a:ext cx="886111" cy="887649"/>
          </a:xfrm>
          <a:prstGeom prst="arc">
            <a:avLst>
              <a:gd name="adj1" fmla="val 4747739"/>
              <a:gd name="adj2" fmla="val 10606923"/>
            </a:avLst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</xdr:col>
      <xdr:colOff>809853</xdr:colOff>
      <xdr:row>12</xdr:row>
      <xdr:rowOff>67236</xdr:rowOff>
    </xdr:from>
    <xdr:to>
      <xdr:col>3</xdr:col>
      <xdr:colOff>809853</xdr:colOff>
      <xdr:row>12</xdr:row>
      <xdr:rowOff>1379192</xdr:rowOff>
    </xdr:to>
    <xdr:cxnSp macro="">
      <xdr:nvCxnSpPr>
        <xdr:cNvPr id="166" name="Прямая со стрелкой 16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6265" y="13155707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768860</xdr:colOff>
      <xdr:row>12</xdr:row>
      <xdr:rowOff>1361493</xdr:rowOff>
    </xdr:from>
    <xdr:to>
      <xdr:col>3</xdr:col>
      <xdr:colOff>840860</xdr:colOff>
      <xdr:row>12</xdr:row>
      <xdr:rowOff>1433493</xdr:rowOff>
    </xdr:to>
    <xdr:sp macro="" textlink="">
      <xdr:nvSpPr>
        <xdr:cNvPr id="167" name="Овал 16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5272" y="1444996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983532</xdr:colOff>
      <xdr:row>12</xdr:row>
      <xdr:rowOff>705480</xdr:rowOff>
    </xdr:from>
    <xdr:to>
      <xdr:col>3</xdr:col>
      <xdr:colOff>1055532</xdr:colOff>
      <xdr:row>12</xdr:row>
      <xdr:rowOff>777480</xdr:rowOff>
    </xdr:to>
    <xdr:sp macro="" textlink="">
      <xdr:nvSpPr>
        <xdr:cNvPr id="168" name="5-конечная звезда 167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29944" y="1379395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481853</xdr:colOff>
      <xdr:row>12</xdr:row>
      <xdr:rowOff>515470</xdr:rowOff>
    </xdr:from>
    <xdr:to>
      <xdr:col>5</xdr:col>
      <xdr:colOff>596232</xdr:colOff>
      <xdr:row>12</xdr:row>
      <xdr:rowOff>905995</xdr:rowOff>
    </xdr:to>
    <xdr:sp macro="" textlink="">
      <xdr:nvSpPr>
        <xdr:cNvPr id="169" name="Прямоугольник 168"/>
        <xdr:cNvSpPr/>
      </xdr:nvSpPr>
      <xdr:spPr>
        <a:xfrm>
          <a:off x="3608294" y="13603941"/>
          <a:ext cx="1492703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???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1008529</xdr:colOff>
      <xdr:row>29</xdr:row>
      <xdr:rowOff>112059</xdr:rowOff>
    </xdr:from>
    <xdr:to>
      <xdr:col>5</xdr:col>
      <xdr:colOff>294154</xdr:colOff>
      <xdr:row>29</xdr:row>
      <xdr:rowOff>778809</xdr:rowOff>
    </xdr:to>
    <xdr:pic>
      <xdr:nvPicPr>
        <xdr:cNvPr id="43" name="Рисунок 42" descr="Картинки по запросу знак главная дорог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4970" y="28440530"/>
          <a:ext cx="66394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1042145</xdr:colOff>
      <xdr:row>29</xdr:row>
      <xdr:rowOff>856780</xdr:rowOff>
    </xdr:from>
    <xdr:to>
      <xdr:col>5</xdr:col>
      <xdr:colOff>227478</xdr:colOff>
      <xdr:row>29</xdr:row>
      <xdr:rowOff>1422588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8586" y="29185251"/>
          <a:ext cx="563657" cy="565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813287</xdr:colOff>
      <xdr:row>29</xdr:row>
      <xdr:rowOff>100853</xdr:rowOff>
    </xdr:from>
    <xdr:to>
      <xdr:col>3</xdr:col>
      <xdr:colOff>813287</xdr:colOff>
      <xdr:row>29</xdr:row>
      <xdr:rowOff>1392780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9699" y="28429324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772294</xdr:colOff>
      <xdr:row>29</xdr:row>
      <xdr:rowOff>1375084</xdr:rowOff>
    </xdr:from>
    <xdr:to>
      <xdr:col>3</xdr:col>
      <xdr:colOff>844294</xdr:colOff>
      <xdr:row>29</xdr:row>
      <xdr:rowOff>1447084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8706" y="297035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134470</xdr:colOff>
      <xdr:row>29</xdr:row>
      <xdr:rowOff>712979</xdr:rowOff>
    </xdr:from>
    <xdr:to>
      <xdr:col>3</xdr:col>
      <xdr:colOff>816747</xdr:colOff>
      <xdr:row>29</xdr:row>
      <xdr:rowOff>941293</xdr:rowOff>
    </xdr:to>
    <xdr:cxnSp macro="">
      <xdr:nvCxnSpPr>
        <xdr:cNvPr id="48" name="Прямая со стрелкой 4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80882" y="29041450"/>
          <a:ext cx="682277" cy="228314"/>
        </a:xfrm>
        <a:prstGeom prst="straightConnector1">
          <a:avLst/>
        </a:prstGeom>
        <a:ln w="19050">
          <a:prstDash val="solid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941294</xdr:colOff>
      <xdr:row>29</xdr:row>
      <xdr:rowOff>829235</xdr:rowOff>
    </xdr:from>
    <xdr:to>
      <xdr:col>3</xdr:col>
      <xdr:colOff>1013294</xdr:colOff>
      <xdr:row>29</xdr:row>
      <xdr:rowOff>901235</xdr:rowOff>
    </xdr:to>
    <xdr:sp macro="" textlink="">
      <xdr:nvSpPr>
        <xdr:cNvPr id="50" name="5-конечная звезда 4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7706" y="2915770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963707</xdr:colOff>
      <xdr:row>30</xdr:row>
      <xdr:rowOff>649941</xdr:rowOff>
    </xdr:from>
    <xdr:to>
      <xdr:col>5</xdr:col>
      <xdr:colOff>283238</xdr:colOff>
      <xdr:row>30</xdr:row>
      <xdr:rowOff>1269066</xdr:rowOff>
    </xdr:to>
    <xdr:pic>
      <xdr:nvPicPr>
        <xdr:cNvPr id="51" name="Рисунок 50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0148" y="30502412"/>
          <a:ext cx="69785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896471</xdr:colOff>
      <xdr:row>30</xdr:row>
      <xdr:rowOff>347382</xdr:rowOff>
    </xdr:from>
    <xdr:to>
      <xdr:col>5</xdr:col>
      <xdr:colOff>326275</xdr:colOff>
      <xdr:row>30</xdr:row>
      <xdr:rowOff>616488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22912" y="30199853"/>
          <a:ext cx="808128" cy="269106"/>
        </a:xfrm>
        <a:prstGeom prst="rect">
          <a:avLst/>
        </a:prstGeom>
      </xdr:spPr>
    </xdr:pic>
    <xdr:clientData/>
  </xdr:twoCellAnchor>
  <xdr:twoCellAnchor>
    <xdr:from>
      <xdr:col>3</xdr:col>
      <xdr:colOff>123265</xdr:colOff>
      <xdr:row>30</xdr:row>
      <xdr:rowOff>739787</xdr:rowOff>
    </xdr:from>
    <xdr:to>
      <xdr:col>3</xdr:col>
      <xdr:colOff>1449197</xdr:colOff>
      <xdr:row>30</xdr:row>
      <xdr:rowOff>739787</xdr:rowOff>
    </xdr:to>
    <xdr:cxnSp macro="">
      <xdr:nvCxnSpPr>
        <xdr:cNvPr id="53" name="Прямая со стрелкой 5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200000" flipV="1">
          <a:off x="2332643" y="29929292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743159</xdr:colOff>
      <xdr:row>30</xdr:row>
      <xdr:rowOff>1378012</xdr:rowOff>
    </xdr:from>
    <xdr:to>
      <xdr:col>3</xdr:col>
      <xdr:colOff>815159</xdr:colOff>
      <xdr:row>30</xdr:row>
      <xdr:rowOff>1450012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89571" y="3123048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780801</xdr:colOff>
      <xdr:row>30</xdr:row>
      <xdr:rowOff>739588</xdr:rowOff>
    </xdr:from>
    <xdr:to>
      <xdr:col>3</xdr:col>
      <xdr:colOff>780801</xdr:colOff>
      <xdr:row>30</xdr:row>
      <xdr:rowOff>1443609</xdr:rowOff>
    </xdr:to>
    <xdr:cxnSp macro="">
      <xdr:nvCxnSpPr>
        <xdr:cNvPr id="55" name="Прямая соединительная линия 54"/>
        <xdr:cNvCxnSpPr/>
      </xdr:nvCxnSpPr>
      <xdr:spPr>
        <a:xfrm rot="16200000" flipH="1">
          <a:off x="1975202" y="30944070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941294</xdr:colOff>
      <xdr:row>30</xdr:row>
      <xdr:rowOff>874058</xdr:rowOff>
    </xdr:from>
    <xdr:to>
      <xdr:col>3</xdr:col>
      <xdr:colOff>1013294</xdr:colOff>
      <xdr:row>30</xdr:row>
      <xdr:rowOff>946058</xdr:rowOff>
    </xdr:to>
    <xdr:sp macro="" textlink="">
      <xdr:nvSpPr>
        <xdr:cNvPr id="56" name="5-конечная звезда 55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7706" y="3072652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73742</xdr:colOff>
      <xdr:row>31</xdr:row>
      <xdr:rowOff>857250</xdr:rowOff>
    </xdr:from>
    <xdr:to>
      <xdr:col>3</xdr:col>
      <xdr:colOff>788653</xdr:colOff>
      <xdr:row>31</xdr:row>
      <xdr:rowOff>857250</xdr:rowOff>
    </xdr:to>
    <xdr:cxnSp macro="">
      <xdr:nvCxnSpPr>
        <xdr:cNvPr id="58" name="Прямая со стрелкой 5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1616177" y="32209863"/>
          <a:ext cx="714911" cy="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823413</xdr:colOff>
      <xdr:row>31</xdr:row>
      <xdr:rowOff>1370965</xdr:rowOff>
    </xdr:from>
    <xdr:to>
      <xdr:col>3</xdr:col>
      <xdr:colOff>895413</xdr:colOff>
      <xdr:row>31</xdr:row>
      <xdr:rowOff>1442965</xdr:rowOff>
    </xdr:to>
    <xdr:sp macro="" textlink="">
      <xdr:nvSpPr>
        <xdr:cNvPr id="59" name="Овал 58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365848" y="3272357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668742</xdr:colOff>
      <xdr:row>31</xdr:row>
      <xdr:rowOff>100856</xdr:rowOff>
    </xdr:from>
    <xdr:to>
      <xdr:col>3</xdr:col>
      <xdr:colOff>668742</xdr:colOff>
      <xdr:row>31</xdr:row>
      <xdr:rowOff>1421199</xdr:rowOff>
    </xdr:to>
    <xdr:cxnSp macro="">
      <xdr:nvCxnSpPr>
        <xdr:cNvPr id="60" name="Прямая соединительная линия 59"/>
        <xdr:cNvCxnSpPr/>
      </xdr:nvCxnSpPr>
      <xdr:spPr>
        <a:xfrm>
          <a:off x="2215154" y="31477327"/>
          <a:ext cx="0" cy="132034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769326</xdr:colOff>
      <xdr:row>31</xdr:row>
      <xdr:rowOff>105650</xdr:rowOff>
    </xdr:from>
    <xdr:to>
      <xdr:col>3</xdr:col>
      <xdr:colOff>856776</xdr:colOff>
      <xdr:row>31</xdr:row>
      <xdr:rowOff>1406769</xdr:rowOff>
    </xdr:to>
    <xdr:sp macro="" textlink="">
      <xdr:nvSpPr>
        <xdr:cNvPr id="8" name="Полилиния 7"/>
        <xdr:cNvSpPr/>
      </xdr:nvSpPr>
      <xdr:spPr>
        <a:xfrm>
          <a:off x="2311761" y="31458263"/>
          <a:ext cx="87450" cy="1301119"/>
        </a:xfrm>
        <a:custGeom>
          <a:avLst/>
          <a:gdLst>
            <a:gd name="connsiteX0" fmla="*/ 67935 w 79613"/>
            <a:gd name="connsiteY0" fmla="*/ 1304192 h 1304192"/>
            <a:gd name="connsiteX1" fmla="*/ 75262 w 79613"/>
            <a:gd name="connsiteY1" fmla="*/ 820615 h 1304192"/>
            <a:gd name="connsiteX2" fmla="*/ 9320 w 79613"/>
            <a:gd name="connsiteY2" fmla="*/ 681404 h 1304192"/>
            <a:gd name="connsiteX3" fmla="*/ 1993 w 79613"/>
            <a:gd name="connsiteY3" fmla="*/ 0 h 1304192"/>
            <a:gd name="connsiteX0" fmla="*/ 89443 w 92722"/>
            <a:gd name="connsiteY0" fmla="*/ 1304192 h 1304192"/>
            <a:gd name="connsiteX1" fmla="*/ 75262 w 92722"/>
            <a:gd name="connsiteY1" fmla="*/ 820615 h 1304192"/>
            <a:gd name="connsiteX2" fmla="*/ 9320 w 92722"/>
            <a:gd name="connsiteY2" fmla="*/ 681404 h 1304192"/>
            <a:gd name="connsiteX3" fmla="*/ 1993 w 92722"/>
            <a:gd name="connsiteY3" fmla="*/ 0 h 1304192"/>
            <a:gd name="connsiteX0" fmla="*/ 89443 w 89443"/>
            <a:gd name="connsiteY0" fmla="*/ 1304192 h 1304192"/>
            <a:gd name="connsiteX1" fmla="*/ 75262 w 89443"/>
            <a:gd name="connsiteY1" fmla="*/ 820615 h 1304192"/>
            <a:gd name="connsiteX2" fmla="*/ 9320 w 89443"/>
            <a:gd name="connsiteY2" fmla="*/ 681404 h 1304192"/>
            <a:gd name="connsiteX3" fmla="*/ 1993 w 89443"/>
            <a:gd name="connsiteY3" fmla="*/ 0 h 1304192"/>
            <a:gd name="connsiteX0" fmla="*/ 89443 w 89443"/>
            <a:gd name="connsiteY0" fmla="*/ 1301119 h 1301119"/>
            <a:gd name="connsiteX1" fmla="*/ 75262 w 89443"/>
            <a:gd name="connsiteY1" fmla="*/ 817542 h 1301119"/>
            <a:gd name="connsiteX2" fmla="*/ 9320 w 89443"/>
            <a:gd name="connsiteY2" fmla="*/ 678331 h 1301119"/>
            <a:gd name="connsiteX3" fmla="*/ 1993 w 89443"/>
            <a:gd name="connsiteY3" fmla="*/ 0 h 1301119"/>
            <a:gd name="connsiteX0" fmla="*/ 87450 w 87450"/>
            <a:gd name="connsiteY0" fmla="*/ 1301119 h 1301119"/>
            <a:gd name="connsiteX1" fmla="*/ 73269 w 87450"/>
            <a:gd name="connsiteY1" fmla="*/ 817542 h 1301119"/>
            <a:gd name="connsiteX2" fmla="*/ 7327 w 87450"/>
            <a:gd name="connsiteY2" fmla="*/ 678331 h 1301119"/>
            <a:gd name="connsiteX3" fmla="*/ 0 w 87450"/>
            <a:gd name="connsiteY3" fmla="*/ 0 h 1301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7450" h="1301119">
              <a:moveTo>
                <a:pt x="87450" y="1301119"/>
              </a:moveTo>
              <a:cubicBezTo>
                <a:pt x="86780" y="1111229"/>
                <a:pt x="86623" y="921340"/>
                <a:pt x="73269" y="817542"/>
              </a:cubicBezTo>
              <a:cubicBezTo>
                <a:pt x="59915" y="713744"/>
                <a:pt x="19538" y="814588"/>
                <a:pt x="7327" y="678331"/>
              </a:cubicBezTo>
              <a:cubicBezTo>
                <a:pt x="-4884" y="542074"/>
                <a:pt x="3704" y="28768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123266</xdr:colOff>
      <xdr:row>32</xdr:row>
      <xdr:rowOff>789486</xdr:rowOff>
    </xdr:from>
    <xdr:to>
      <xdr:col>3</xdr:col>
      <xdr:colOff>1449198</xdr:colOff>
      <xdr:row>32</xdr:row>
      <xdr:rowOff>789486</xdr:rowOff>
    </xdr:to>
    <xdr:cxnSp macro="">
      <xdr:nvCxnSpPr>
        <xdr:cNvPr id="71" name="Прямая со стрелкой 7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5400000" flipH="1" flipV="1">
          <a:off x="2326797" y="32991911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743160</xdr:colOff>
      <xdr:row>32</xdr:row>
      <xdr:rowOff>1369730</xdr:rowOff>
    </xdr:from>
    <xdr:to>
      <xdr:col>3</xdr:col>
      <xdr:colOff>815160</xdr:colOff>
      <xdr:row>32</xdr:row>
      <xdr:rowOff>1441730</xdr:rowOff>
    </xdr:to>
    <xdr:sp macro="" textlink="">
      <xdr:nvSpPr>
        <xdr:cNvPr id="72" name="Овал 71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83725" y="3423512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780802</xdr:colOff>
      <xdr:row>32</xdr:row>
      <xdr:rowOff>786851</xdr:rowOff>
    </xdr:from>
    <xdr:to>
      <xdr:col>3</xdr:col>
      <xdr:colOff>780802</xdr:colOff>
      <xdr:row>32</xdr:row>
      <xdr:rowOff>1435327</xdr:rowOff>
    </xdr:to>
    <xdr:cxnSp macro="">
      <xdr:nvCxnSpPr>
        <xdr:cNvPr id="73" name="Прямая соединительная линия 72"/>
        <xdr:cNvCxnSpPr/>
      </xdr:nvCxnSpPr>
      <xdr:spPr>
        <a:xfrm>
          <a:off x="2321367" y="33652242"/>
          <a:ext cx="0" cy="648476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911090</xdr:colOff>
      <xdr:row>32</xdr:row>
      <xdr:rowOff>422416</xdr:rowOff>
    </xdr:from>
    <xdr:to>
      <xdr:col>3</xdr:col>
      <xdr:colOff>1428968</xdr:colOff>
      <xdr:row>32</xdr:row>
      <xdr:rowOff>786853</xdr:rowOff>
    </xdr:to>
    <xdr:cxnSp macro="">
      <xdr:nvCxnSpPr>
        <xdr:cNvPr id="75" name="Прямая соединительная линия 74"/>
        <xdr:cNvCxnSpPr/>
      </xdr:nvCxnSpPr>
      <xdr:spPr>
        <a:xfrm flipH="1">
          <a:off x="2451655" y="33287807"/>
          <a:ext cx="517878" cy="36443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800213</xdr:colOff>
      <xdr:row>33</xdr:row>
      <xdr:rowOff>85725</xdr:rowOff>
    </xdr:from>
    <xdr:to>
      <xdr:col>3</xdr:col>
      <xdr:colOff>800213</xdr:colOff>
      <xdr:row>33</xdr:row>
      <xdr:rowOff>1411657</xdr:rowOff>
    </xdr:to>
    <xdr:cxnSp macro="">
      <xdr:nvCxnSpPr>
        <xdr:cNvPr id="82" name="Прямая со стрелкой 8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3263" y="34490025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757980</xdr:colOff>
      <xdr:row>33</xdr:row>
      <xdr:rowOff>1381894</xdr:rowOff>
    </xdr:from>
    <xdr:to>
      <xdr:col>3</xdr:col>
      <xdr:colOff>829980</xdr:colOff>
      <xdr:row>33</xdr:row>
      <xdr:rowOff>1453894</xdr:rowOff>
    </xdr:to>
    <xdr:sp macro="" textlink="">
      <xdr:nvSpPr>
        <xdr:cNvPr id="83" name="Овал 8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1030" y="3578619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95250</xdr:colOff>
      <xdr:row>33</xdr:row>
      <xdr:rowOff>770926</xdr:rowOff>
    </xdr:from>
    <xdr:to>
      <xdr:col>3</xdr:col>
      <xdr:colOff>1506310</xdr:colOff>
      <xdr:row>33</xdr:row>
      <xdr:rowOff>770926</xdr:rowOff>
    </xdr:to>
    <xdr:cxnSp macro="">
      <xdr:nvCxnSpPr>
        <xdr:cNvPr id="85" name="Прямая соединительная линия 84"/>
        <xdr:cNvCxnSpPr/>
      </xdr:nvCxnSpPr>
      <xdr:spPr>
        <a:xfrm>
          <a:off x="1638300" y="35175226"/>
          <a:ext cx="1411060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</xdr:colOff>
      <xdr:row>34</xdr:row>
      <xdr:rowOff>727926</xdr:rowOff>
    </xdr:from>
    <xdr:to>
      <xdr:col>3</xdr:col>
      <xdr:colOff>1466850</xdr:colOff>
      <xdr:row>34</xdr:row>
      <xdr:rowOff>942975</xdr:rowOff>
    </xdr:to>
    <xdr:sp macro="" textlink="">
      <xdr:nvSpPr>
        <xdr:cNvPr id="23" name="Полилиния 22"/>
        <xdr:cNvSpPr/>
      </xdr:nvSpPr>
      <xdr:spPr>
        <a:xfrm>
          <a:off x="1647825" y="36656226"/>
          <a:ext cx="1362075" cy="215049"/>
        </a:xfrm>
        <a:custGeom>
          <a:avLst/>
          <a:gdLst>
            <a:gd name="connsiteX0" fmla="*/ 0 w 1362075"/>
            <a:gd name="connsiteY0" fmla="*/ 5499 h 215049"/>
            <a:gd name="connsiteX1" fmla="*/ 504825 w 1362075"/>
            <a:gd name="connsiteY1" fmla="*/ 5499 h 215049"/>
            <a:gd name="connsiteX2" fmla="*/ 733425 w 1362075"/>
            <a:gd name="connsiteY2" fmla="*/ 62649 h 215049"/>
            <a:gd name="connsiteX3" fmla="*/ 1362075 w 1362075"/>
            <a:gd name="connsiteY3" fmla="*/ 215049 h 2150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62075" h="215049">
              <a:moveTo>
                <a:pt x="0" y="5499"/>
              </a:moveTo>
              <a:cubicBezTo>
                <a:pt x="191294" y="736"/>
                <a:pt x="382588" y="-4026"/>
                <a:pt x="504825" y="5499"/>
              </a:cubicBezTo>
              <a:cubicBezTo>
                <a:pt x="627063" y="15024"/>
                <a:pt x="733425" y="62649"/>
                <a:pt x="733425" y="62649"/>
              </a:cubicBezTo>
              <a:lnTo>
                <a:pt x="1362075" y="215049"/>
              </a:ln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560618</xdr:colOff>
      <xdr:row>34</xdr:row>
      <xdr:rowOff>70757</xdr:rowOff>
    </xdr:from>
    <xdr:to>
      <xdr:col>3</xdr:col>
      <xdr:colOff>609604</xdr:colOff>
      <xdr:row>34</xdr:row>
      <xdr:rowOff>740229</xdr:rowOff>
    </xdr:to>
    <xdr:cxnSp macro="">
      <xdr:nvCxnSpPr>
        <xdr:cNvPr id="89" name="Прямая со стрелкой 8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 flipV="1">
          <a:off x="2106389" y="35993614"/>
          <a:ext cx="48986" cy="66947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781163</xdr:colOff>
      <xdr:row>34</xdr:row>
      <xdr:rowOff>771525</xdr:rowOff>
    </xdr:from>
    <xdr:to>
      <xdr:col>3</xdr:col>
      <xdr:colOff>781163</xdr:colOff>
      <xdr:row>34</xdr:row>
      <xdr:rowOff>1431472</xdr:rowOff>
    </xdr:to>
    <xdr:cxnSp macro="">
      <xdr:nvCxnSpPr>
        <xdr:cNvPr id="90" name="Прямая со стрелкой 8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26934" y="36694382"/>
          <a:ext cx="0" cy="659947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749816</xdr:colOff>
      <xdr:row>34</xdr:row>
      <xdr:rowOff>1392781</xdr:rowOff>
    </xdr:from>
    <xdr:to>
      <xdr:col>3</xdr:col>
      <xdr:colOff>821816</xdr:colOff>
      <xdr:row>34</xdr:row>
      <xdr:rowOff>1464781</xdr:rowOff>
    </xdr:to>
    <xdr:sp macro="" textlink="">
      <xdr:nvSpPr>
        <xdr:cNvPr id="91" name="Овал 90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5587" y="3731563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836422</xdr:colOff>
      <xdr:row>35</xdr:row>
      <xdr:rowOff>1348277</xdr:rowOff>
    </xdr:from>
    <xdr:to>
      <xdr:col>3</xdr:col>
      <xdr:colOff>908422</xdr:colOff>
      <xdr:row>35</xdr:row>
      <xdr:rowOff>1420277</xdr:rowOff>
    </xdr:to>
    <xdr:sp macro="" textlink="">
      <xdr:nvSpPr>
        <xdr:cNvPr id="115" name="Овал 11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82834" y="3882074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95250</xdr:colOff>
      <xdr:row>35</xdr:row>
      <xdr:rowOff>737309</xdr:rowOff>
    </xdr:from>
    <xdr:to>
      <xdr:col>3</xdr:col>
      <xdr:colOff>1506310</xdr:colOff>
      <xdr:row>35</xdr:row>
      <xdr:rowOff>737309</xdr:rowOff>
    </xdr:to>
    <xdr:cxnSp macro="">
      <xdr:nvCxnSpPr>
        <xdr:cNvPr id="116" name="Прямая соединительная линия 115"/>
        <xdr:cNvCxnSpPr/>
      </xdr:nvCxnSpPr>
      <xdr:spPr>
        <a:xfrm>
          <a:off x="1641662" y="38209780"/>
          <a:ext cx="1411060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878655</xdr:colOff>
      <xdr:row>35</xdr:row>
      <xdr:rowOff>739588</xdr:rowOff>
    </xdr:from>
    <xdr:to>
      <xdr:col>3</xdr:col>
      <xdr:colOff>878655</xdr:colOff>
      <xdr:row>35</xdr:row>
      <xdr:rowOff>1411657</xdr:rowOff>
    </xdr:to>
    <xdr:cxnSp macro="">
      <xdr:nvCxnSpPr>
        <xdr:cNvPr id="117" name="Прямая со стрелкой 11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425067" y="38212059"/>
          <a:ext cx="0" cy="672069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688155</xdr:colOff>
      <xdr:row>35</xdr:row>
      <xdr:rowOff>68415</xdr:rowOff>
    </xdr:from>
    <xdr:to>
      <xdr:col>3</xdr:col>
      <xdr:colOff>688155</xdr:colOff>
      <xdr:row>35</xdr:row>
      <xdr:rowOff>740484</xdr:rowOff>
    </xdr:to>
    <xdr:cxnSp macro="">
      <xdr:nvCxnSpPr>
        <xdr:cNvPr id="118" name="Прямая со стрелкой 11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232208" y="37526731"/>
          <a:ext cx="0" cy="672069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739040</xdr:colOff>
      <xdr:row>37</xdr:row>
      <xdr:rowOff>1395769</xdr:rowOff>
    </xdr:from>
    <xdr:to>
      <xdr:col>3</xdr:col>
      <xdr:colOff>811040</xdr:colOff>
      <xdr:row>37</xdr:row>
      <xdr:rowOff>1467769</xdr:rowOff>
    </xdr:to>
    <xdr:sp macro="" textlink="">
      <xdr:nvSpPr>
        <xdr:cNvPr id="126" name="Овал 125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4928559" flipH="1">
          <a:off x="2279605" y="4188116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752891</xdr:colOff>
      <xdr:row>37</xdr:row>
      <xdr:rowOff>101203</xdr:rowOff>
    </xdr:from>
    <xdr:to>
      <xdr:col>3</xdr:col>
      <xdr:colOff>782712</xdr:colOff>
      <xdr:row>37</xdr:row>
      <xdr:rowOff>1416843</xdr:rowOff>
    </xdr:to>
    <xdr:sp macro="" textlink="">
      <xdr:nvSpPr>
        <xdr:cNvPr id="33" name="Полилиния 32"/>
        <xdr:cNvSpPr/>
      </xdr:nvSpPr>
      <xdr:spPr>
        <a:xfrm>
          <a:off x="2293456" y="40586594"/>
          <a:ext cx="29821" cy="1315640"/>
        </a:xfrm>
        <a:custGeom>
          <a:avLst/>
          <a:gdLst>
            <a:gd name="connsiteX0" fmla="*/ 23867 w 29821"/>
            <a:gd name="connsiteY0" fmla="*/ 1315640 h 1315640"/>
            <a:gd name="connsiteX1" fmla="*/ 55 w 29821"/>
            <a:gd name="connsiteY1" fmla="*/ 666750 h 1315640"/>
            <a:gd name="connsiteX2" fmla="*/ 29821 w 29821"/>
            <a:gd name="connsiteY2" fmla="*/ 0 h 13156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821" h="1315640">
              <a:moveTo>
                <a:pt x="23867" y="1315640"/>
              </a:moveTo>
              <a:cubicBezTo>
                <a:pt x="11465" y="1100831"/>
                <a:pt x="-937" y="886023"/>
                <a:pt x="55" y="666750"/>
              </a:cubicBezTo>
              <a:cubicBezTo>
                <a:pt x="1047" y="447477"/>
                <a:pt x="29821" y="0"/>
                <a:pt x="29821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140805</xdr:colOff>
      <xdr:row>37</xdr:row>
      <xdr:rowOff>402242</xdr:rowOff>
    </xdr:from>
    <xdr:to>
      <xdr:col>3</xdr:col>
      <xdr:colOff>747432</xdr:colOff>
      <xdr:row>37</xdr:row>
      <xdr:rowOff>888867</xdr:rowOff>
    </xdr:to>
    <xdr:cxnSp macro="">
      <xdr:nvCxnSpPr>
        <xdr:cNvPr id="127" name="Прямая со стрелкой 126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>
          <a:off x="1681370" y="40887633"/>
          <a:ext cx="606627" cy="48662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760983</xdr:colOff>
      <xdr:row>37</xdr:row>
      <xdr:rowOff>566492</xdr:rowOff>
    </xdr:from>
    <xdr:to>
      <xdr:col>3</xdr:col>
      <xdr:colOff>1441174</xdr:colOff>
      <xdr:row>37</xdr:row>
      <xdr:rowOff>976900</xdr:rowOff>
    </xdr:to>
    <xdr:cxnSp macro="">
      <xdr:nvCxnSpPr>
        <xdr:cNvPr id="129" name="Прямая со стрелкой 128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flipV="1">
          <a:off x="2301548" y="41051883"/>
          <a:ext cx="680191" cy="410408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124558</xdr:colOff>
      <xdr:row>38</xdr:row>
      <xdr:rowOff>549519</xdr:rowOff>
    </xdr:from>
    <xdr:to>
      <xdr:col>3</xdr:col>
      <xdr:colOff>793784</xdr:colOff>
      <xdr:row>38</xdr:row>
      <xdr:rowOff>829502</xdr:rowOff>
    </xdr:to>
    <xdr:cxnSp macro="">
      <xdr:nvCxnSpPr>
        <xdr:cNvPr id="130" name="Прямая со стрелкой 129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flipH="1" flipV="1">
          <a:off x="1663212" y="53244750"/>
          <a:ext cx="669226" cy="27998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738582</xdr:colOff>
      <xdr:row>38</xdr:row>
      <xdr:rowOff>1375162</xdr:rowOff>
    </xdr:from>
    <xdr:to>
      <xdr:col>3</xdr:col>
      <xdr:colOff>810582</xdr:colOff>
      <xdr:row>38</xdr:row>
      <xdr:rowOff>1447162</xdr:rowOff>
    </xdr:to>
    <xdr:sp macro="" textlink="">
      <xdr:nvSpPr>
        <xdr:cNvPr id="131" name="Овал 130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4928559" flipH="1">
          <a:off x="2277236" y="5407039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839206</xdr:colOff>
      <xdr:row>6</xdr:row>
      <xdr:rowOff>516950</xdr:rowOff>
    </xdr:from>
    <xdr:to>
      <xdr:col>3</xdr:col>
      <xdr:colOff>1447793</xdr:colOff>
      <xdr:row>6</xdr:row>
      <xdr:rowOff>1106880</xdr:rowOff>
    </xdr:to>
    <xdr:cxnSp macro="">
      <xdr:nvCxnSpPr>
        <xdr:cNvPr id="108" name="Прямая со стрелкой 10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87019" y="4446013"/>
          <a:ext cx="608587" cy="589930"/>
        </a:xfrm>
        <a:prstGeom prst="straightConnector1">
          <a:avLst/>
        </a:prstGeom>
        <a:ln w="19050">
          <a:prstDash val="sysDot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458924</xdr:colOff>
      <xdr:row>6</xdr:row>
      <xdr:rowOff>1044423</xdr:rowOff>
    </xdr:from>
    <xdr:to>
      <xdr:col>3</xdr:col>
      <xdr:colOff>823054</xdr:colOff>
      <xdr:row>6</xdr:row>
      <xdr:rowOff>1138673</xdr:rowOff>
    </xdr:to>
    <xdr:cxnSp macro="">
      <xdr:nvCxnSpPr>
        <xdr:cNvPr id="109" name="Прямая со стрелкой 10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2006737" y="4973486"/>
          <a:ext cx="364130" cy="94250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798604</xdr:colOff>
      <xdr:row>6</xdr:row>
      <xdr:rowOff>1401676</xdr:rowOff>
    </xdr:from>
    <xdr:to>
      <xdr:col>3</xdr:col>
      <xdr:colOff>870604</xdr:colOff>
      <xdr:row>6</xdr:row>
      <xdr:rowOff>1473676</xdr:rowOff>
    </xdr:to>
    <xdr:sp macro="" textlink="">
      <xdr:nvSpPr>
        <xdr:cNvPr id="110" name="Овал 10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346417" y="533073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836287</xdr:colOff>
      <xdr:row>6</xdr:row>
      <xdr:rowOff>149978</xdr:rowOff>
    </xdr:from>
    <xdr:to>
      <xdr:col>3</xdr:col>
      <xdr:colOff>836287</xdr:colOff>
      <xdr:row>6</xdr:row>
      <xdr:rowOff>1434703</xdr:rowOff>
    </xdr:to>
    <xdr:cxnSp macro="">
      <xdr:nvCxnSpPr>
        <xdr:cNvPr id="12" name="Прямая соединительная линия 11"/>
        <xdr:cNvCxnSpPr/>
      </xdr:nvCxnSpPr>
      <xdr:spPr>
        <a:xfrm flipV="1">
          <a:off x="2384100" y="4079041"/>
          <a:ext cx="0" cy="12847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809853</xdr:colOff>
      <xdr:row>19</xdr:row>
      <xdr:rowOff>67236</xdr:rowOff>
    </xdr:from>
    <xdr:to>
      <xdr:col>3</xdr:col>
      <xdr:colOff>809853</xdr:colOff>
      <xdr:row>19</xdr:row>
      <xdr:rowOff>1379192</xdr:rowOff>
    </xdr:to>
    <xdr:cxnSp macro="">
      <xdr:nvCxnSpPr>
        <xdr:cNvPr id="176" name="Прямая со стрелкой 17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61067" y="13130093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768860</xdr:colOff>
      <xdr:row>19</xdr:row>
      <xdr:rowOff>1361493</xdr:rowOff>
    </xdr:from>
    <xdr:to>
      <xdr:col>3</xdr:col>
      <xdr:colOff>840860</xdr:colOff>
      <xdr:row>19</xdr:row>
      <xdr:rowOff>1433493</xdr:rowOff>
    </xdr:to>
    <xdr:sp macro="" textlink="">
      <xdr:nvSpPr>
        <xdr:cNvPr id="177" name="Овал 17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20074" y="1442435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714603</xdr:colOff>
      <xdr:row>21</xdr:row>
      <xdr:rowOff>67236</xdr:rowOff>
    </xdr:from>
    <xdr:to>
      <xdr:col>3</xdr:col>
      <xdr:colOff>714603</xdr:colOff>
      <xdr:row>21</xdr:row>
      <xdr:rowOff>1379192</xdr:rowOff>
    </xdr:to>
    <xdr:cxnSp macro="">
      <xdr:nvCxnSpPr>
        <xdr:cNvPr id="186" name="Прямая со стрелкой 18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65817" y="25322093"/>
          <a:ext cx="0" cy="13119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673610</xdr:colOff>
      <xdr:row>21</xdr:row>
      <xdr:rowOff>1361493</xdr:rowOff>
    </xdr:from>
    <xdr:to>
      <xdr:col>3</xdr:col>
      <xdr:colOff>745610</xdr:colOff>
      <xdr:row>21</xdr:row>
      <xdr:rowOff>1433493</xdr:rowOff>
    </xdr:to>
    <xdr:sp macro="" textlink="">
      <xdr:nvSpPr>
        <xdr:cNvPr id="187" name="Овал 18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24824" y="2661635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718038</xdr:colOff>
      <xdr:row>21</xdr:row>
      <xdr:rowOff>373673</xdr:rowOff>
    </xdr:from>
    <xdr:to>
      <xdr:col>3</xdr:col>
      <xdr:colOff>1252904</xdr:colOff>
      <xdr:row>21</xdr:row>
      <xdr:rowOff>1340827</xdr:rowOff>
    </xdr:to>
    <xdr:sp macro="" textlink="">
      <xdr:nvSpPr>
        <xdr:cNvPr id="24" name="Полилиния 23"/>
        <xdr:cNvSpPr/>
      </xdr:nvSpPr>
      <xdr:spPr>
        <a:xfrm>
          <a:off x="2256692" y="25636904"/>
          <a:ext cx="534866" cy="967154"/>
        </a:xfrm>
        <a:custGeom>
          <a:avLst/>
          <a:gdLst>
            <a:gd name="connsiteX0" fmla="*/ 0 w 534866"/>
            <a:gd name="connsiteY0" fmla="*/ 0 h 967154"/>
            <a:gd name="connsiteX1" fmla="*/ 205154 w 534866"/>
            <a:gd name="connsiteY1" fmla="*/ 505558 h 967154"/>
            <a:gd name="connsiteX2" fmla="*/ 534866 w 534866"/>
            <a:gd name="connsiteY2" fmla="*/ 967154 h 9671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4866" h="967154">
              <a:moveTo>
                <a:pt x="0" y="0"/>
              </a:moveTo>
              <a:cubicBezTo>
                <a:pt x="58005" y="172183"/>
                <a:pt x="116010" y="344366"/>
                <a:pt x="205154" y="505558"/>
              </a:cubicBezTo>
              <a:cubicBezTo>
                <a:pt x="294298" y="666750"/>
                <a:pt x="414582" y="816952"/>
                <a:pt x="534866" y="967154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713568</xdr:colOff>
      <xdr:row>21</xdr:row>
      <xdr:rowOff>1068117</xdr:rowOff>
    </xdr:from>
    <xdr:to>
      <xdr:col>3</xdr:col>
      <xdr:colOff>1088110</xdr:colOff>
      <xdr:row>21</xdr:row>
      <xdr:rowOff>1223721</xdr:rowOff>
    </xdr:to>
    <xdr:sp macro="" textlink="">
      <xdr:nvSpPr>
        <xdr:cNvPr id="26" name="Полилиния 25"/>
        <xdr:cNvSpPr/>
      </xdr:nvSpPr>
      <xdr:spPr>
        <a:xfrm>
          <a:off x="2256941" y="26330354"/>
          <a:ext cx="374542" cy="155604"/>
        </a:xfrm>
        <a:custGeom>
          <a:avLst/>
          <a:gdLst>
            <a:gd name="connsiteX0" fmla="*/ 0 w 374542"/>
            <a:gd name="connsiteY0" fmla="*/ 155604 h 155604"/>
            <a:gd name="connsiteX1" fmla="*/ 58118 w 374542"/>
            <a:gd name="connsiteY1" fmla="*/ 71654 h 155604"/>
            <a:gd name="connsiteX2" fmla="*/ 138839 w 374542"/>
            <a:gd name="connsiteY2" fmla="*/ 13536 h 155604"/>
            <a:gd name="connsiteX3" fmla="*/ 235703 w 374542"/>
            <a:gd name="connsiteY3" fmla="*/ 621 h 155604"/>
            <a:gd name="connsiteX4" fmla="*/ 316423 w 374542"/>
            <a:gd name="connsiteY4" fmla="*/ 26451 h 155604"/>
            <a:gd name="connsiteX5" fmla="*/ 374542 w 374542"/>
            <a:gd name="connsiteY5" fmla="*/ 65197 h 1556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74542" h="155604">
              <a:moveTo>
                <a:pt x="0" y="155604"/>
              </a:moveTo>
              <a:cubicBezTo>
                <a:pt x="17489" y="125468"/>
                <a:pt x="34978" y="95332"/>
                <a:pt x="58118" y="71654"/>
              </a:cubicBezTo>
              <a:cubicBezTo>
                <a:pt x="81258" y="47976"/>
                <a:pt x="109242" y="25375"/>
                <a:pt x="138839" y="13536"/>
              </a:cubicBezTo>
              <a:cubicBezTo>
                <a:pt x="168437" y="1697"/>
                <a:pt x="206106" y="-1531"/>
                <a:pt x="235703" y="621"/>
              </a:cubicBezTo>
              <a:cubicBezTo>
                <a:pt x="265300" y="2773"/>
                <a:pt x="293283" y="15688"/>
                <a:pt x="316423" y="26451"/>
              </a:cubicBezTo>
              <a:cubicBezTo>
                <a:pt x="339563" y="37214"/>
                <a:pt x="357052" y="51205"/>
                <a:pt x="374542" y="65197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470647</xdr:colOff>
      <xdr:row>22</xdr:row>
      <xdr:rowOff>448235</xdr:rowOff>
    </xdr:from>
    <xdr:to>
      <xdr:col>3</xdr:col>
      <xdr:colOff>1064559</xdr:colOff>
      <xdr:row>22</xdr:row>
      <xdr:rowOff>1042147</xdr:rowOff>
    </xdr:to>
    <xdr:sp macro="" textlink="">
      <xdr:nvSpPr>
        <xdr:cNvPr id="27" name="Овал 26"/>
        <xdr:cNvSpPr/>
      </xdr:nvSpPr>
      <xdr:spPr>
        <a:xfrm>
          <a:off x="2017059" y="27252706"/>
          <a:ext cx="593912" cy="593912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476250</xdr:colOff>
      <xdr:row>22</xdr:row>
      <xdr:rowOff>827942</xdr:rowOff>
    </xdr:from>
    <xdr:to>
      <xdr:col>3</xdr:col>
      <xdr:colOff>630115</xdr:colOff>
      <xdr:row>22</xdr:row>
      <xdr:rowOff>1450731</xdr:rowOff>
    </xdr:to>
    <xdr:sp macro="" textlink="">
      <xdr:nvSpPr>
        <xdr:cNvPr id="29" name="Полилиния 28"/>
        <xdr:cNvSpPr/>
      </xdr:nvSpPr>
      <xdr:spPr>
        <a:xfrm>
          <a:off x="2014904" y="27615173"/>
          <a:ext cx="153865" cy="622789"/>
        </a:xfrm>
        <a:custGeom>
          <a:avLst/>
          <a:gdLst>
            <a:gd name="connsiteX0" fmla="*/ 153865 w 153865"/>
            <a:gd name="connsiteY0" fmla="*/ 622789 h 622789"/>
            <a:gd name="connsiteX1" fmla="*/ 117231 w 153865"/>
            <a:gd name="connsiteY1" fmla="*/ 278423 h 622789"/>
            <a:gd name="connsiteX2" fmla="*/ 0 w 153865"/>
            <a:gd name="connsiteY2" fmla="*/ 0 h 622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3865" h="622789">
              <a:moveTo>
                <a:pt x="153865" y="622789"/>
              </a:moveTo>
              <a:cubicBezTo>
                <a:pt x="148370" y="502505"/>
                <a:pt x="142875" y="382221"/>
                <a:pt x="117231" y="278423"/>
              </a:cubicBezTo>
              <a:cubicBezTo>
                <a:pt x="91587" y="174625"/>
                <a:pt x="45793" y="87312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637442</xdr:colOff>
      <xdr:row>22</xdr:row>
      <xdr:rowOff>723534</xdr:rowOff>
    </xdr:from>
    <xdr:to>
      <xdr:col>3</xdr:col>
      <xdr:colOff>1392574</xdr:colOff>
      <xdr:row>22</xdr:row>
      <xdr:rowOff>1421423</xdr:rowOff>
    </xdr:to>
    <xdr:sp macro="" textlink="">
      <xdr:nvSpPr>
        <xdr:cNvPr id="30" name="Полилиния 29"/>
        <xdr:cNvSpPr/>
      </xdr:nvSpPr>
      <xdr:spPr>
        <a:xfrm>
          <a:off x="2185255" y="27512597"/>
          <a:ext cx="755132" cy="697889"/>
        </a:xfrm>
        <a:custGeom>
          <a:avLst/>
          <a:gdLst>
            <a:gd name="connsiteX0" fmla="*/ 0 w 725366"/>
            <a:gd name="connsiteY0" fmla="*/ 674077 h 674077"/>
            <a:gd name="connsiteX1" fmla="*/ 278423 w 725366"/>
            <a:gd name="connsiteY1" fmla="*/ 263769 h 674077"/>
            <a:gd name="connsiteX2" fmla="*/ 725366 w 725366"/>
            <a:gd name="connsiteY2" fmla="*/ 0 h 674077"/>
            <a:gd name="connsiteX0" fmla="*/ 0 w 755132"/>
            <a:gd name="connsiteY0" fmla="*/ 697889 h 697889"/>
            <a:gd name="connsiteX1" fmla="*/ 278423 w 755132"/>
            <a:gd name="connsiteY1" fmla="*/ 287581 h 697889"/>
            <a:gd name="connsiteX2" fmla="*/ 755132 w 755132"/>
            <a:gd name="connsiteY2" fmla="*/ 0 h 6978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55132" h="697889">
              <a:moveTo>
                <a:pt x="0" y="697889"/>
              </a:moveTo>
              <a:cubicBezTo>
                <a:pt x="78764" y="548908"/>
                <a:pt x="152568" y="403896"/>
                <a:pt x="278423" y="287581"/>
              </a:cubicBezTo>
              <a:cubicBezTo>
                <a:pt x="404278" y="171266"/>
                <a:pt x="592107" y="75711"/>
                <a:pt x="75513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527538</xdr:colOff>
      <xdr:row>22</xdr:row>
      <xdr:rowOff>915865</xdr:rowOff>
    </xdr:from>
    <xdr:to>
      <xdr:col>3</xdr:col>
      <xdr:colOff>1033096</xdr:colOff>
      <xdr:row>22</xdr:row>
      <xdr:rowOff>1436077</xdr:rowOff>
    </xdr:to>
    <xdr:sp macro="" textlink="">
      <xdr:nvSpPr>
        <xdr:cNvPr id="31" name="Полилиния 30"/>
        <xdr:cNvSpPr/>
      </xdr:nvSpPr>
      <xdr:spPr>
        <a:xfrm>
          <a:off x="2066192" y="27703096"/>
          <a:ext cx="505558" cy="520212"/>
        </a:xfrm>
        <a:custGeom>
          <a:avLst/>
          <a:gdLst>
            <a:gd name="connsiteX0" fmla="*/ 0 w 505558"/>
            <a:gd name="connsiteY0" fmla="*/ 0 h 520212"/>
            <a:gd name="connsiteX1" fmla="*/ 359020 w 505558"/>
            <a:gd name="connsiteY1" fmla="*/ 344366 h 520212"/>
            <a:gd name="connsiteX2" fmla="*/ 505558 w 505558"/>
            <a:gd name="connsiteY2" fmla="*/ 520212 h 5202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5558" h="520212">
              <a:moveTo>
                <a:pt x="0" y="0"/>
              </a:moveTo>
              <a:cubicBezTo>
                <a:pt x="137380" y="128832"/>
                <a:pt x="274760" y="257664"/>
                <a:pt x="359020" y="344366"/>
              </a:cubicBezTo>
              <a:cubicBezTo>
                <a:pt x="443280" y="431068"/>
                <a:pt x="474419" y="475640"/>
                <a:pt x="505558" y="52021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986100</xdr:colOff>
      <xdr:row>22</xdr:row>
      <xdr:rowOff>952500</xdr:rowOff>
    </xdr:from>
    <xdr:to>
      <xdr:col>3</xdr:col>
      <xdr:colOff>1040423</xdr:colOff>
      <xdr:row>22</xdr:row>
      <xdr:rowOff>1443404</xdr:rowOff>
    </xdr:to>
    <xdr:sp macro="" textlink="">
      <xdr:nvSpPr>
        <xdr:cNvPr id="32" name="Полилиния 31"/>
        <xdr:cNvSpPr/>
      </xdr:nvSpPr>
      <xdr:spPr>
        <a:xfrm>
          <a:off x="2524754" y="27739731"/>
          <a:ext cx="54323" cy="490904"/>
        </a:xfrm>
        <a:custGeom>
          <a:avLst/>
          <a:gdLst>
            <a:gd name="connsiteX0" fmla="*/ 10361 w 54323"/>
            <a:gd name="connsiteY0" fmla="*/ 0 h 490904"/>
            <a:gd name="connsiteX1" fmla="*/ 3034 w 54323"/>
            <a:gd name="connsiteY1" fmla="*/ 285750 h 490904"/>
            <a:gd name="connsiteX2" fmla="*/ 54323 w 54323"/>
            <a:gd name="connsiteY2" fmla="*/ 490904 h 4909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23" h="490904">
              <a:moveTo>
                <a:pt x="10361" y="0"/>
              </a:moveTo>
              <a:cubicBezTo>
                <a:pt x="3034" y="101966"/>
                <a:pt x="-4293" y="203933"/>
                <a:pt x="3034" y="285750"/>
              </a:cubicBezTo>
              <a:cubicBezTo>
                <a:pt x="10361" y="367567"/>
                <a:pt x="32342" y="429235"/>
                <a:pt x="54323" y="49090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546315</xdr:colOff>
      <xdr:row>22</xdr:row>
      <xdr:rowOff>184546</xdr:rowOff>
    </xdr:from>
    <xdr:to>
      <xdr:col>3</xdr:col>
      <xdr:colOff>720329</xdr:colOff>
      <xdr:row>22</xdr:row>
      <xdr:rowOff>553639</xdr:rowOff>
    </xdr:to>
    <xdr:sp macro="" textlink="">
      <xdr:nvSpPr>
        <xdr:cNvPr id="34" name="Полилиния 33"/>
        <xdr:cNvSpPr/>
      </xdr:nvSpPr>
      <xdr:spPr>
        <a:xfrm>
          <a:off x="2094128" y="28497609"/>
          <a:ext cx="174014" cy="369093"/>
        </a:xfrm>
        <a:custGeom>
          <a:avLst/>
          <a:gdLst>
            <a:gd name="connsiteX0" fmla="*/ 0 w 161192"/>
            <a:gd name="connsiteY0" fmla="*/ 534866 h 534866"/>
            <a:gd name="connsiteX1" fmla="*/ 117231 w 161192"/>
            <a:gd name="connsiteY1" fmla="*/ 278423 h 534866"/>
            <a:gd name="connsiteX2" fmla="*/ 161192 w 161192"/>
            <a:gd name="connsiteY2" fmla="*/ 0 h 534866"/>
            <a:gd name="connsiteX0" fmla="*/ 0 w 286091"/>
            <a:gd name="connsiteY0" fmla="*/ 570054 h 570054"/>
            <a:gd name="connsiteX1" fmla="*/ 117231 w 286091"/>
            <a:gd name="connsiteY1" fmla="*/ 313611 h 570054"/>
            <a:gd name="connsiteX2" fmla="*/ 286091 w 286091"/>
            <a:gd name="connsiteY2" fmla="*/ 0 h 570054"/>
            <a:gd name="connsiteX0" fmla="*/ 0 w 286091"/>
            <a:gd name="connsiteY0" fmla="*/ 570054 h 570054"/>
            <a:gd name="connsiteX1" fmla="*/ 221311 w 286091"/>
            <a:gd name="connsiteY1" fmla="*/ 222120 h 570054"/>
            <a:gd name="connsiteX2" fmla="*/ 286091 w 286091"/>
            <a:gd name="connsiteY2" fmla="*/ 0 h 570054"/>
            <a:gd name="connsiteX0" fmla="*/ 0 w 202825"/>
            <a:gd name="connsiteY0" fmla="*/ 436337 h 436337"/>
            <a:gd name="connsiteX1" fmla="*/ 138045 w 202825"/>
            <a:gd name="connsiteY1" fmla="*/ 222120 h 436337"/>
            <a:gd name="connsiteX2" fmla="*/ 202825 w 202825"/>
            <a:gd name="connsiteY2" fmla="*/ 0 h 436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2825" h="436337">
              <a:moveTo>
                <a:pt x="0" y="436337"/>
              </a:moveTo>
              <a:cubicBezTo>
                <a:pt x="45183" y="352687"/>
                <a:pt x="111180" y="311264"/>
                <a:pt x="138045" y="222120"/>
              </a:cubicBezTo>
              <a:cubicBezTo>
                <a:pt x="164910" y="132976"/>
                <a:pt x="194277" y="94639"/>
                <a:pt x="20282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702463</xdr:colOff>
      <xdr:row>22</xdr:row>
      <xdr:rowOff>34803</xdr:rowOff>
    </xdr:from>
    <xdr:to>
      <xdr:col>3</xdr:col>
      <xdr:colOff>1380209</xdr:colOff>
      <xdr:row>22</xdr:row>
      <xdr:rowOff>719412</xdr:rowOff>
    </xdr:to>
    <xdr:sp macro="" textlink="">
      <xdr:nvSpPr>
        <xdr:cNvPr id="36" name="Полилиния 35"/>
        <xdr:cNvSpPr/>
      </xdr:nvSpPr>
      <xdr:spPr>
        <a:xfrm>
          <a:off x="2250276" y="28347866"/>
          <a:ext cx="677746" cy="684609"/>
        </a:xfrm>
        <a:custGeom>
          <a:avLst/>
          <a:gdLst>
            <a:gd name="connsiteX0" fmla="*/ 0 w 791307"/>
            <a:gd name="connsiteY0" fmla="*/ 0 h 864577"/>
            <a:gd name="connsiteX1" fmla="*/ 65942 w 791307"/>
            <a:gd name="connsiteY1" fmla="*/ 293077 h 864577"/>
            <a:gd name="connsiteX2" fmla="*/ 351692 w 791307"/>
            <a:gd name="connsiteY2" fmla="*/ 644769 h 864577"/>
            <a:gd name="connsiteX3" fmla="*/ 791307 w 791307"/>
            <a:gd name="connsiteY3" fmla="*/ 864577 h 864577"/>
            <a:gd name="connsiteX0" fmla="*/ 0 w 725365"/>
            <a:gd name="connsiteY0" fmla="*/ 0 h 571500"/>
            <a:gd name="connsiteX1" fmla="*/ 285750 w 725365"/>
            <a:gd name="connsiteY1" fmla="*/ 351692 h 571500"/>
            <a:gd name="connsiteX2" fmla="*/ 725365 w 725365"/>
            <a:gd name="connsiteY2" fmla="*/ 571500 h 571500"/>
            <a:gd name="connsiteX0" fmla="*/ 0 w 761083"/>
            <a:gd name="connsiteY0" fmla="*/ 0 h 660797"/>
            <a:gd name="connsiteX1" fmla="*/ 321468 w 761083"/>
            <a:gd name="connsiteY1" fmla="*/ 440989 h 660797"/>
            <a:gd name="connsiteX2" fmla="*/ 761083 w 761083"/>
            <a:gd name="connsiteY2" fmla="*/ 660797 h 660797"/>
            <a:gd name="connsiteX0" fmla="*/ 0 w 749177"/>
            <a:gd name="connsiteY0" fmla="*/ 0 h 607219"/>
            <a:gd name="connsiteX1" fmla="*/ 309562 w 749177"/>
            <a:gd name="connsiteY1" fmla="*/ 387411 h 607219"/>
            <a:gd name="connsiteX2" fmla="*/ 749177 w 749177"/>
            <a:gd name="connsiteY2" fmla="*/ 607219 h 607219"/>
            <a:gd name="connsiteX0" fmla="*/ 0 w 767037"/>
            <a:gd name="connsiteY0" fmla="*/ 0 h 672703"/>
            <a:gd name="connsiteX1" fmla="*/ 327422 w 767037"/>
            <a:gd name="connsiteY1" fmla="*/ 452895 h 672703"/>
            <a:gd name="connsiteX2" fmla="*/ 767037 w 767037"/>
            <a:gd name="connsiteY2" fmla="*/ 672703 h 672703"/>
            <a:gd name="connsiteX0" fmla="*/ 0 w 677741"/>
            <a:gd name="connsiteY0" fmla="*/ 0 h 684609"/>
            <a:gd name="connsiteX1" fmla="*/ 238126 w 677741"/>
            <a:gd name="connsiteY1" fmla="*/ 464801 h 684609"/>
            <a:gd name="connsiteX2" fmla="*/ 677741 w 677741"/>
            <a:gd name="connsiteY2" fmla="*/ 684609 h 684609"/>
            <a:gd name="connsiteX0" fmla="*/ 5 w 677746"/>
            <a:gd name="connsiteY0" fmla="*/ 0 h 684609"/>
            <a:gd name="connsiteX1" fmla="*/ 238131 w 677746"/>
            <a:gd name="connsiteY1" fmla="*/ 464801 h 684609"/>
            <a:gd name="connsiteX2" fmla="*/ 677746 w 677746"/>
            <a:gd name="connsiteY2" fmla="*/ 684609 h 6846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7746" h="684609">
              <a:moveTo>
                <a:pt x="5" y="0"/>
              </a:moveTo>
              <a:cubicBezTo>
                <a:pt x="-912" y="226524"/>
                <a:pt x="110292" y="352684"/>
                <a:pt x="238131" y="464801"/>
              </a:cubicBezTo>
              <a:cubicBezTo>
                <a:pt x="365970" y="576918"/>
                <a:pt x="518385" y="622330"/>
                <a:pt x="677746" y="684609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596219</xdr:colOff>
      <xdr:row>22</xdr:row>
      <xdr:rowOff>1397212</xdr:rowOff>
    </xdr:from>
    <xdr:to>
      <xdr:col>3</xdr:col>
      <xdr:colOff>668219</xdr:colOff>
      <xdr:row>22</xdr:row>
      <xdr:rowOff>1469212</xdr:rowOff>
    </xdr:to>
    <xdr:sp macro="" textlink="">
      <xdr:nvSpPr>
        <xdr:cNvPr id="198" name="Овал 19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144032" y="2818627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419100</xdr:colOff>
      <xdr:row>22</xdr:row>
      <xdr:rowOff>718457</xdr:rowOff>
    </xdr:from>
    <xdr:to>
      <xdr:col>3</xdr:col>
      <xdr:colOff>517072</xdr:colOff>
      <xdr:row>22</xdr:row>
      <xdr:rowOff>800100</xdr:rowOff>
    </xdr:to>
    <xdr:sp macro="" textlink="">
      <xdr:nvSpPr>
        <xdr:cNvPr id="37" name="Прямоугольник 36"/>
        <xdr:cNvSpPr/>
      </xdr:nvSpPr>
      <xdr:spPr>
        <a:xfrm>
          <a:off x="1964871" y="27497314"/>
          <a:ext cx="97972" cy="81643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96779</xdr:colOff>
      <xdr:row>20</xdr:row>
      <xdr:rowOff>511396</xdr:rowOff>
    </xdr:from>
    <xdr:to>
      <xdr:col>3</xdr:col>
      <xdr:colOff>1452481</xdr:colOff>
      <xdr:row>20</xdr:row>
      <xdr:rowOff>852982</xdr:rowOff>
    </xdr:to>
    <xdr:cxnSp macro="">
      <xdr:nvCxnSpPr>
        <xdr:cNvPr id="162" name="Прямая со стрелкой 16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55415" y="25795941"/>
          <a:ext cx="1355702" cy="341586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726115</xdr:colOff>
      <xdr:row>20</xdr:row>
      <xdr:rowOff>1303112</xdr:rowOff>
    </xdr:from>
    <xdr:to>
      <xdr:col>3</xdr:col>
      <xdr:colOff>798115</xdr:colOff>
      <xdr:row>20</xdr:row>
      <xdr:rowOff>1375112</xdr:rowOff>
    </xdr:to>
    <xdr:sp macro="" textlink="">
      <xdr:nvSpPr>
        <xdr:cNvPr id="170" name="Овал 16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284751" y="2658765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754064</xdr:colOff>
      <xdr:row>20</xdr:row>
      <xdr:rowOff>686273</xdr:rowOff>
    </xdr:from>
    <xdr:to>
      <xdr:col>3</xdr:col>
      <xdr:colOff>781729</xdr:colOff>
      <xdr:row>20</xdr:row>
      <xdr:rowOff>1343613</xdr:rowOff>
    </xdr:to>
    <xdr:cxnSp macro="">
      <xdr:nvCxnSpPr>
        <xdr:cNvPr id="172" name="Прямая со стрелкой 17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>
          <a:off x="2312700" y="25970818"/>
          <a:ext cx="27665" cy="657340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689803</xdr:colOff>
      <xdr:row>23</xdr:row>
      <xdr:rowOff>1397318</xdr:rowOff>
    </xdr:from>
    <xdr:to>
      <xdr:col>3</xdr:col>
      <xdr:colOff>761803</xdr:colOff>
      <xdr:row>23</xdr:row>
      <xdr:rowOff>1469318</xdr:rowOff>
    </xdr:to>
    <xdr:sp macro="" textlink="">
      <xdr:nvSpPr>
        <xdr:cNvPr id="174" name="Овал 17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5540179">
          <a:off x="2232853" y="3122961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746356</xdr:colOff>
      <xdr:row>23</xdr:row>
      <xdr:rowOff>808363</xdr:rowOff>
    </xdr:from>
    <xdr:to>
      <xdr:col>3</xdr:col>
      <xdr:colOff>1073437</xdr:colOff>
      <xdr:row>23</xdr:row>
      <xdr:rowOff>900156</xdr:rowOff>
    </xdr:to>
    <xdr:cxnSp macro="">
      <xdr:nvCxnSpPr>
        <xdr:cNvPr id="175" name="Прямая со стрелкой 17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5374054" flipV="1">
          <a:off x="2407050" y="30523019"/>
          <a:ext cx="91793" cy="327081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728599</xdr:colOff>
      <xdr:row>23</xdr:row>
      <xdr:rowOff>681381</xdr:rowOff>
    </xdr:from>
    <xdr:to>
      <xdr:col>3</xdr:col>
      <xdr:colOff>1385939</xdr:colOff>
      <xdr:row>23</xdr:row>
      <xdr:rowOff>709046</xdr:rowOff>
    </xdr:to>
    <xdr:cxnSp macro="">
      <xdr:nvCxnSpPr>
        <xdr:cNvPr id="178" name="Прямая со стрелкой 17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5540179">
          <a:off x="2586486" y="30198844"/>
          <a:ext cx="27665" cy="657340"/>
        </a:xfrm>
        <a:prstGeom prst="straightConnector1">
          <a:avLst/>
        </a:prstGeom>
        <a:ln w="19050">
          <a:prstDash val="solid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689802</xdr:colOff>
      <xdr:row>24</xdr:row>
      <xdr:rowOff>1383711</xdr:rowOff>
    </xdr:from>
    <xdr:to>
      <xdr:col>3</xdr:col>
      <xdr:colOff>761802</xdr:colOff>
      <xdr:row>24</xdr:row>
      <xdr:rowOff>1455711</xdr:rowOff>
    </xdr:to>
    <xdr:sp macro="" textlink="">
      <xdr:nvSpPr>
        <xdr:cNvPr id="201" name="Овал 20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5540179">
          <a:off x="2232387" y="3273722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959069</xdr:colOff>
      <xdr:row>24</xdr:row>
      <xdr:rowOff>375557</xdr:rowOff>
    </xdr:from>
    <xdr:to>
      <xdr:col>3</xdr:col>
      <xdr:colOff>1176784</xdr:colOff>
      <xdr:row>24</xdr:row>
      <xdr:rowOff>647193</xdr:rowOff>
    </xdr:to>
    <xdr:cxnSp macro="">
      <xdr:nvCxnSpPr>
        <xdr:cNvPr id="203" name="Прямая со стрелкой 20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496207" y="31722660"/>
          <a:ext cx="217715" cy="271636"/>
        </a:xfrm>
        <a:prstGeom prst="straightConnector1">
          <a:avLst/>
        </a:prstGeom>
        <a:ln w="19050">
          <a:prstDash val="sysDot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386286</xdr:colOff>
      <xdr:row>25</xdr:row>
      <xdr:rowOff>142213</xdr:rowOff>
    </xdr:from>
    <xdr:to>
      <xdr:col>3</xdr:col>
      <xdr:colOff>945587</xdr:colOff>
      <xdr:row>25</xdr:row>
      <xdr:rowOff>1205784</xdr:rowOff>
    </xdr:to>
    <xdr:sp macro="" textlink="">
      <xdr:nvSpPr>
        <xdr:cNvPr id="204" name="Полилиния 203"/>
        <xdr:cNvSpPr/>
      </xdr:nvSpPr>
      <xdr:spPr>
        <a:xfrm rot="12364779">
          <a:off x="1929336" y="33022513"/>
          <a:ext cx="559301" cy="1063571"/>
        </a:xfrm>
        <a:custGeom>
          <a:avLst/>
          <a:gdLst>
            <a:gd name="connsiteX0" fmla="*/ 0 w 152400"/>
            <a:gd name="connsiteY0" fmla="*/ 1257300 h 1257300"/>
            <a:gd name="connsiteX1" fmla="*/ 38100 w 152400"/>
            <a:gd name="connsiteY1" fmla="*/ 704850 h 1257300"/>
            <a:gd name="connsiteX2" fmla="*/ 152400 w 152400"/>
            <a:gd name="connsiteY2" fmla="*/ 0 h 1257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2400" h="1257300">
              <a:moveTo>
                <a:pt x="0" y="1257300"/>
              </a:moveTo>
              <a:cubicBezTo>
                <a:pt x="6350" y="1085850"/>
                <a:pt x="12700" y="914400"/>
                <a:pt x="38100" y="704850"/>
              </a:cubicBezTo>
              <a:cubicBezTo>
                <a:pt x="63500" y="495300"/>
                <a:pt x="128588" y="141287"/>
                <a:pt x="152400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715101</xdr:colOff>
      <xdr:row>25</xdr:row>
      <xdr:rowOff>623736</xdr:rowOff>
    </xdr:from>
    <xdr:to>
      <xdr:col>3</xdr:col>
      <xdr:colOff>972276</xdr:colOff>
      <xdr:row>25</xdr:row>
      <xdr:rowOff>1338111</xdr:rowOff>
    </xdr:to>
    <xdr:sp macro="" textlink="">
      <xdr:nvSpPr>
        <xdr:cNvPr id="205" name="Полилиния 204"/>
        <xdr:cNvSpPr/>
      </xdr:nvSpPr>
      <xdr:spPr>
        <a:xfrm rot="12364779">
          <a:off x="2266315" y="33498593"/>
          <a:ext cx="257175" cy="714375"/>
        </a:xfrm>
        <a:custGeom>
          <a:avLst/>
          <a:gdLst>
            <a:gd name="connsiteX0" fmla="*/ 0 w 257175"/>
            <a:gd name="connsiteY0" fmla="*/ 0 h 714375"/>
            <a:gd name="connsiteX1" fmla="*/ 123825 w 257175"/>
            <a:gd name="connsiteY1" fmla="*/ 276225 h 714375"/>
            <a:gd name="connsiteX2" fmla="*/ 257175 w 257175"/>
            <a:gd name="connsiteY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175" h="714375">
              <a:moveTo>
                <a:pt x="0" y="0"/>
              </a:moveTo>
              <a:cubicBezTo>
                <a:pt x="40481" y="78581"/>
                <a:pt x="80963" y="157163"/>
                <a:pt x="123825" y="276225"/>
              </a:cubicBezTo>
              <a:cubicBezTo>
                <a:pt x="166688" y="395288"/>
                <a:pt x="211931" y="554831"/>
                <a:pt x="257175" y="714375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771181</xdr:colOff>
      <xdr:row>25</xdr:row>
      <xdr:rowOff>1315998</xdr:rowOff>
    </xdr:from>
    <xdr:to>
      <xdr:col>3</xdr:col>
      <xdr:colOff>843181</xdr:colOff>
      <xdr:row>25</xdr:row>
      <xdr:rowOff>1387998</xdr:rowOff>
    </xdr:to>
    <xdr:sp macro="" textlink="">
      <xdr:nvSpPr>
        <xdr:cNvPr id="206" name="Овал 20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2530904">
          <a:off x="2322395" y="341908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563520</xdr:colOff>
      <xdr:row>25</xdr:row>
      <xdr:rowOff>796123</xdr:rowOff>
    </xdr:from>
    <xdr:to>
      <xdr:col>3</xdr:col>
      <xdr:colOff>864283</xdr:colOff>
      <xdr:row>25</xdr:row>
      <xdr:rowOff>951666</xdr:rowOff>
    </xdr:to>
    <xdr:sp macro="" textlink="">
      <xdr:nvSpPr>
        <xdr:cNvPr id="207" name="Полилиния 206"/>
        <xdr:cNvSpPr/>
      </xdr:nvSpPr>
      <xdr:spPr>
        <a:xfrm rot="12364779">
          <a:off x="2106570" y="33676423"/>
          <a:ext cx="300763" cy="155543"/>
        </a:xfrm>
        <a:custGeom>
          <a:avLst/>
          <a:gdLst>
            <a:gd name="connsiteX0" fmla="*/ 0 w 216776"/>
            <a:gd name="connsiteY0" fmla="*/ 0 h 154623"/>
            <a:gd name="connsiteX1" fmla="*/ 111673 w 216776"/>
            <a:gd name="connsiteY1" fmla="*/ 151087 h 154623"/>
            <a:gd name="connsiteX2" fmla="*/ 216776 w 216776"/>
            <a:gd name="connsiteY2" fmla="*/ 91966 h 154623"/>
            <a:gd name="connsiteX0" fmla="*/ 0 w 221422"/>
            <a:gd name="connsiteY0" fmla="*/ 0 h 151396"/>
            <a:gd name="connsiteX1" fmla="*/ 111673 w 221422"/>
            <a:gd name="connsiteY1" fmla="*/ 151087 h 151396"/>
            <a:gd name="connsiteX2" fmla="*/ 221422 w 221422"/>
            <a:gd name="connsiteY2" fmla="*/ 36210 h 151396"/>
            <a:gd name="connsiteX0" fmla="*/ 0 w 221422"/>
            <a:gd name="connsiteY0" fmla="*/ 0 h 155355"/>
            <a:gd name="connsiteX1" fmla="*/ 111673 w 221422"/>
            <a:gd name="connsiteY1" fmla="*/ 151087 h 155355"/>
            <a:gd name="connsiteX2" fmla="*/ 221422 w 221422"/>
            <a:gd name="connsiteY2" fmla="*/ 36210 h 155355"/>
            <a:gd name="connsiteX0" fmla="*/ 0 w 221422"/>
            <a:gd name="connsiteY0" fmla="*/ 0 h 156169"/>
            <a:gd name="connsiteX1" fmla="*/ 111673 w 221422"/>
            <a:gd name="connsiteY1" fmla="*/ 151087 h 156169"/>
            <a:gd name="connsiteX2" fmla="*/ 221422 w 221422"/>
            <a:gd name="connsiteY2" fmla="*/ 36210 h 156169"/>
            <a:gd name="connsiteX0" fmla="*/ 0 w 300763"/>
            <a:gd name="connsiteY0" fmla="*/ 0 h 155543"/>
            <a:gd name="connsiteX1" fmla="*/ 111673 w 300763"/>
            <a:gd name="connsiteY1" fmla="*/ 151087 h 155543"/>
            <a:gd name="connsiteX2" fmla="*/ 300763 w 300763"/>
            <a:gd name="connsiteY2" fmla="*/ 33944 h 1555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0763" h="155543">
              <a:moveTo>
                <a:pt x="0" y="0"/>
              </a:moveTo>
              <a:cubicBezTo>
                <a:pt x="37772" y="67879"/>
                <a:pt x="61546" y="145430"/>
                <a:pt x="111673" y="151087"/>
              </a:cubicBezTo>
              <a:cubicBezTo>
                <a:pt x="161800" y="156744"/>
                <a:pt x="229105" y="178034"/>
                <a:pt x="300763" y="33944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627557</xdr:colOff>
      <xdr:row>7</xdr:row>
      <xdr:rowOff>257120</xdr:rowOff>
    </xdr:from>
    <xdr:to>
      <xdr:col>3</xdr:col>
      <xdr:colOff>1186858</xdr:colOff>
      <xdr:row>7</xdr:row>
      <xdr:rowOff>1320691</xdr:rowOff>
    </xdr:to>
    <xdr:sp macro="" textlink="">
      <xdr:nvSpPr>
        <xdr:cNvPr id="208" name="Полилиния 207"/>
        <xdr:cNvSpPr/>
      </xdr:nvSpPr>
      <xdr:spPr>
        <a:xfrm rot="20999567">
          <a:off x="2168122" y="5690511"/>
          <a:ext cx="559301" cy="1063571"/>
        </a:xfrm>
        <a:custGeom>
          <a:avLst/>
          <a:gdLst>
            <a:gd name="connsiteX0" fmla="*/ 0 w 152400"/>
            <a:gd name="connsiteY0" fmla="*/ 1257300 h 1257300"/>
            <a:gd name="connsiteX1" fmla="*/ 38100 w 152400"/>
            <a:gd name="connsiteY1" fmla="*/ 704850 h 1257300"/>
            <a:gd name="connsiteX2" fmla="*/ 152400 w 152400"/>
            <a:gd name="connsiteY2" fmla="*/ 0 h 1257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2400" h="1257300">
              <a:moveTo>
                <a:pt x="0" y="1257300"/>
              </a:moveTo>
              <a:cubicBezTo>
                <a:pt x="6350" y="1085850"/>
                <a:pt x="12700" y="914400"/>
                <a:pt x="38100" y="704850"/>
              </a:cubicBezTo>
              <a:cubicBezTo>
                <a:pt x="63500" y="495300"/>
                <a:pt x="128588" y="141287"/>
                <a:pt x="152400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451520</xdr:colOff>
      <xdr:row>7</xdr:row>
      <xdr:rowOff>296079</xdr:rowOff>
    </xdr:from>
    <xdr:to>
      <xdr:col>3</xdr:col>
      <xdr:colOff>708695</xdr:colOff>
      <xdr:row>7</xdr:row>
      <xdr:rowOff>1010454</xdr:rowOff>
    </xdr:to>
    <xdr:sp macro="" textlink="">
      <xdr:nvSpPr>
        <xdr:cNvPr id="209" name="Полилиния 208"/>
        <xdr:cNvSpPr/>
      </xdr:nvSpPr>
      <xdr:spPr>
        <a:xfrm rot="20999567">
          <a:off x="2002734" y="5738936"/>
          <a:ext cx="257175" cy="714375"/>
        </a:xfrm>
        <a:custGeom>
          <a:avLst/>
          <a:gdLst>
            <a:gd name="connsiteX0" fmla="*/ 0 w 257175"/>
            <a:gd name="connsiteY0" fmla="*/ 0 h 714375"/>
            <a:gd name="connsiteX1" fmla="*/ 123825 w 257175"/>
            <a:gd name="connsiteY1" fmla="*/ 276225 h 714375"/>
            <a:gd name="connsiteX2" fmla="*/ 257175 w 257175"/>
            <a:gd name="connsiteY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175" h="714375">
              <a:moveTo>
                <a:pt x="0" y="0"/>
              </a:moveTo>
              <a:cubicBezTo>
                <a:pt x="40481" y="78581"/>
                <a:pt x="80963" y="157163"/>
                <a:pt x="123825" y="276225"/>
              </a:cubicBezTo>
              <a:cubicBezTo>
                <a:pt x="166688" y="395288"/>
                <a:pt x="211931" y="554831"/>
                <a:pt x="257175" y="714375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681614</xdr:colOff>
      <xdr:row>7</xdr:row>
      <xdr:rowOff>1324708</xdr:rowOff>
    </xdr:from>
    <xdr:to>
      <xdr:col>3</xdr:col>
      <xdr:colOff>753614</xdr:colOff>
      <xdr:row>7</xdr:row>
      <xdr:rowOff>1396708</xdr:rowOff>
    </xdr:to>
    <xdr:sp macro="" textlink="">
      <xdr:nvSpPr>
        <xdr:cNvPr id="210" name="Овал 20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21165692">
          <a:off x="2222179" y="675809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595564</xdr:colOff>
      <xdr:row>7</xdr:row>
      <xdr:rowOff>590567</xdr:rowOff>
    </xdr:from>
    <xdr:to>
      <xdr:col>3</xdr:col>
      <xdr:colOff>896327</xdr:colOff>
      <xdr:row>7</xdr:row>
      <xdr:rowOff>746110</xdr:rowOff>
    </xdr:to>
    <xdr:sp macro="" textlink="">
      <xdr:nvSpPr>
        <xdr:cNvPr id="211" name="Полилиния 210"/>
        <xdr:cNvSpPr/>
      </xdr:nvSpPr>
      <xdr:spPr>
        <a:xfrm rot="20999567">
          <a:off x="2136129" y="6023958"/>
          <a:ext cx="300763" cy="155543"/>
        </a:xfrm>
        <a:custGeom>
          <a:avLst/>
          <a:gdLst>
            <a:gd name="connsiteX0" fmla="*/ 0 w 216776"/>
            <a:gd name="connsiteY0" fmla="*/ 0 h 154623"/>
            <a:gd name="connsiteX1" fmla="*/ 111673 w 216776"/>
            <a:gd name="connsiteY1" fmla="*/ 151087 h 154623"/>
            <a:gd name="connsiteX2" fmla="*/ 216776 w 216776"/>
            <a:gd name="connsiteY2" fmla="*/ 91966 h 154623"/>
            <a:gd name="connsiteX0" fmla="*/ 0 w 221422"/>
            <a:gd name="connsiteY0" fmla="*/ 0 h 151396"/>
            <a:gd name="connsiteX1" fmla="*/ 111673 w 221422"/>
            <a:gd name="connsiteY1" fmla="*/ 151087 h 151396"/>
            <a:gd name="connsiteX2" fmla="*/ 221422 w 221422"/>
            <a:gd name="connsiteY2" fmla="*/ 36210 h 151396"/>
            <a:gd name="connsiteX0" fmla="*/ 0 w 221422"/>
            <a:gd name="connsiteY0" fmla="*/ 0 h 155355"/>
            <a:gd name="connsiteX1" fmla="*/ 111673 w 221422"/>
            <a:gd name="connsiteY1" fmla="*/ 151087 h 155355"/>
            <a:gd name="connsiteX2" fmla="*/ 221422 w 221422"/>
            <a:gd name="connsiteY2" fmla="*/ 36210 h 155355"/>
            <a:gd name="connsiteX0" fmla="*/ 0 w 221422"/>
            <a:gd name="connsiteY0" fmla="*/ 0 h 156169"/>
            <a:gd name="connsiteX1" fmla="*/ 111673 w 221422"/>
            <a:gd name="connsiteY1" fmla="*/ 151087 h 156169"/>
            <a:gd name="connsiteX2" fmla="*/ 221422 w 221422"/>
            <a:gd name="connsiteY2" fmla="*/ 36210 h 156169"/>
            <a:gd name="connsiteX0" fmla="*/ 0 w 300763"/>
            <a:gd name="connsiteY0" fmla="*/ 0 h 155543"/>
            <a:gd name="connsiteX1" fmla="*/ 111673 w 300763"/>
            <a:gd name="connsiteY1" fmla="*/ 151087 h 155543"/>
            <a:gd name="connsiteX2" fmla="*/ 300763 w 300763"/>
            <a:gd name="connsiteY2" fmla="*/ 33944 h 1555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0763" h="155543">
              <a:moveTo>
                <a:pt x="0" y="0"/>
              </a:moveTo>
              <a:cubicBezTo>
                <a:pt x="37772" y="67879"/>
                <a:pt x="61546" y="145430"/>
                <a:pt x="111673" y="151087"/>
              </a:cubicBezTo>
              <a:cubicBezTo>
                <a:pt x="161800" y="156744"/>
                <a:pt x="229105" y="178034"/>
                <a:pt x="300763" y="33944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119061</xdr:colOff>
      <xdr:row>26</xdr:row>
      <xdr:rowOff>710283</xdr:rowOff>
    </xdr:from>
    <xdr:to>
      <xdr:col>3</xdr:col>
      <xdr:colOff>1475790</xdr:colOff>
      <xdr:row>26</xdr:row>
      <xdr:rowOff>775897</xdr:rowOff>
    </xdr:to>
    <xdr:cxnSp macro="">
      <xdr:nvCxnSpPr>
        <xdr:cNvPr id="212" name="Прямая со стрелкой 21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43061" y="35095533"/>
          <a:ext cx="1356729" cy="65614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840820</xdr:colOff>
      <xdr:row>26</xdr:row>
      <xdr:rowOff>142875</xdr:rowOff>
    </xdr:from>
    <xdr:to>
      <xdr:col>3</xdr:col>
      <xdr:colOff>948242</xdr:colOff>
      <xdr:row>26</xdr:row>
      <xdr:rowOff>723439</xdr:rowOff>
    </xdr:to>
    <xdr:cxnSp macro="">
      <xdr:nvCxnSpPr>
        <xdr:cNvPr id="214" name="Прямая со стрелкой 21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 flipH="1" flipV="1">
          <a:off x="2364820" y="34528125"/>
          <a:ext cx="107422" cy="580564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149679</xdr:colOff>
      <xdr:row>27</xdr:row>
      <xdr:rowOff>530679</xdr:rowOff>
    </xdr:from>
    <xdr:to>
      <xdr:col>3</xdr:col>
      <xdr:colOff>1509455</xdr:colOff>
      <xdr:row>27</xdr:row>
      <xdr:rowOff>872265</xdr:rowOff>
    </xdr:to>
    <xdr:cxnSp macro="">
      <xdr:nvCxnSpPr>
        <xdr:cNvPr id="216" name="Прямая со стрелкой 21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700893" y="36453536"/>
          <a:ext cx="1359776" cy="341586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779015</xdr:colOff>
      <xdr:row>27</xdr:row>
      <xdr:rowOff>1322395</xdr:rowOff>
    </xdr:from>
    <xdr:to>
      <xdr:col>3</xdr:col>
      <xdr:colOff>851015</xdr:colOff>
      <xdr:row>27</xdr:row>
      <xdr:rowOff>1394395</xdr:rowOff>
    </xdr:to>
    <xdr:sp macro="" textlink="">
      <xdr:nvSpPr>
        <xdr:cNvPr id="217" name="Овал 21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330229" y="3724525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655490</xdr:colOff>
      <xdr:row>27</xdr:row>
      <xdr:rowOff>689701</xdr:rowOff>
    </xdr:from>
    <xdr:to>
      <xdr:col>3</xdr:col>
      <xdr:colOff>747283</xdr:colOff>
      <xdr:row>27</xdr:row>
      <xdr:rowOff>1016782</xdr:rowOff>
    </xdr:to>
    <xdr:cxnSp macro="">
      <xdr:nvCxnSpPr>
        <xdr:cNvPr id="218" name="Прямая со стрелкой 21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206704" y="36612558"/>
          <a:ext cx="91793" cy="327081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806964</xdr:colOff>
      <xdr:row>27</xdr:row>
      <xdr:rowOff>705556</xdr:rowOff>
    </xdr:from>
    <xdr:to>
      <xdr:col>3</xdr:col>
      <xdr:colOff>834629</xdr:colOff>
      <xdr:row>27</xdr:row>
      <xdr:rowOff>1362896</xdr:rowOff>
    </xdr:to>
    <xdr:cxnSp macro="">
      <xdr:nvCxnSpPr>
        <xdr:cNvPr id="219" name="Прямая со стрелкой 21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>
          <a:off x="2358178" y="36628413"/>
          <a:ext cx="27665" cy="657340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506372</xdr:colOff>
      <xdr:row>28</xdr:row>
      <xdr:rowOff>493711</xdr:rowOff>
    </xdr:from>
    <xdr:to>
      <xdr:col>3</xdr:col>
      <xdr:colOff>1100284</xdr:colOff>
      <xdr:row>28</xdr:row>
      <xdr:rowOff>1087623</xdr:rowOff>
    </xdr:to>
    <xdr:sp macro="" textlink="">
      <xdr:nvSpPr>
        <xdr:cNvPr id="220" name="Овал 219"/>
        <xdr:cNvSpPr/>
      </xdr:nvSpPr>
      <xdr:spPr>
        <a:xfrm rot="11064811">
          <a:off x="2052784" y="37966182"/>
          <a:ext cx="593912" cy="593912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967425</xdr:colOff>
      <xdr:row>28</xdr:row>
      <xdr:rowOff>22706</xdr:rowOff>
    </xdr:from>
    <xdr:to>
      <xdr:col>3</xdr:col>
      <xdr:colOff>1127463</xdr:colOff>
      <xdr:row>28</xdr:row>
      <xdr:rowOff>725468</xdr:rowOff>
    </xdr:to>
    <xdr:sp macro="" textlink="">
      <xdr:nvSpPr>
        <xdr:cNvPr id="221" name="Полилиния 220"/>
        <xdr:cNvSpPr/>
      </xdr:nvSpPr>
      <xdr:spPr>
        <a:xfrm rot="11064811">
          <a:off x="2511478" y="37481022"/>
          <a:ext cx="160038" cy="702762"/>
        </a:xfrm>
        <a:custGeom>
          <a:avLst/>
          <a:gdLst>
            <a:gd name="connsiteX0" fmla="*/ 153865 w 153865"/>
            <a:gd name="connsiteY0" fmla="*/ 622789 h 622789"/>
            <a:gd name="connsiteX1" fmla="*/ 117231 w 153865"/>
            <a:gd name="connsiteY1" fmla="*/ 278423 h 622789"/>
            <a:gd name="connsiteX2" fmla="*/ 0 w 153865"/>
            <a:gd name="connsiteY2" fmla="*/ 0 h 622789"/>
            <a:gd name="connsiteX0" fmla="*/ 158109 w 158109"/>
            <a:gd name="connsiteY0" fmla="*/ 677770 h 677770"/>
            <a:gd name="connsiteX1" fmla="*/ 117231 w 158109"/>
            <a:gd name="connsiteY1" fmla="*/ 278423 h 677770"/>
            <a:gd name="connsiteX2" fmla="*/ 0 w 158109"/>
            <a:gd name="connsiteY2" fmla="*/ 0 h 677770"/>
            <a:gd name="connsiteX0" fmla="*/ 160038 w 160038"/>
            <a:gd name="connsiteY0" fmla="*/ 702762 h 702762"/>
            <a:gd name="connsiteX1" fmla="*/ 117231 w 160038"/>
            <a:gd name="connsiteY1" fmla="*/ 278423 h 702762"/>
            <a:gd name="connsiteX2" fmla="*/ 0 w 160038"/>
            <a:gd name="connsiteY2" fmla="*/ 0 h 7027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0038" h="702762">
              <a:moveTo>
                <a:pt x="160038" y="702762"/>
              </a:moveTo>
              <a:cubicBezTo>
                <a:pt x="154543" y="582478"/>
                <a:pt x="142875" y="382221"/>
                <a:pt x="117231" y="278423"/>
              </a:cubicBezTo>
              <a:cubicBezTo>
                <a:pt x="91587" y="174625"/>
                <a:pt x="45793" y="87312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202176</xdr:colOff>
      <xdr:row>28</xdr:row>
      <xdr:rowOff>150851</xdr:rowOff>
    </xdr:from>
    <xdr:to>
      <xdr:col>3</xdr:col>
      <xdr:colOff>976547</xdr:colOff>
      <xdr:row>28</xdr:row>
      <xdr:rowOff>794917</xdr:rowOff>
    </xdr:to>
    <xdr:sp macro="" textlink="">
      <xdr:nvSpPr>
        <xdr:cNvPr id="222" name="Полилиния 221"/>
        <xdr:cNvSpPr/>
      </xdr:nvSpPr>
      <xdr:spPr>
        <a:xfrm rot="11064811">
          <a:off x="1746229" y="37609167"/>
          <a:ext cx="774371" cy="644066"/>
        </a:xfrm>
        <a:custGeom>
          <a:avLst/>
          <a:gdLst>
            <a:gd name="connsiteX0" fmla="*/ 0 w 725366"/>
            <a:gd name="connsiteY0" fmla="*/ 674077 h 674077"/>
            <a:gd name="connsiteX1" fmla="*/ 278423 w 725366"/>
            <a:gd name="connsiteY1" fmla="*/ 263769 h 674077"/>
            <a:gd name="connsiteX2" fmla="*/ 725366 w 725366"/>
            <a:gd name="connsiteY2" fmla="*/ 0 h 674077"/>
            <a:gd name="connsiteX0" fmla="*/ 0 w 755132"/>
            <a:gd name="connsiteY0" fmla="*/ 697889 h 697889"/>
            <a:gd name="connsiteX1" fmla="*/ 278423 w 755132"/>
            <a:gd name="connsiteY1" fmla="*/ 287581 h 697889"/>
            <a:gd name="connsiteX2" fmla="*/ 755132 w 755132"/>
            <a:gd name="connsiteY2" fmla="*/ 0 h 697889"/>
            <a:gd name="connsiteX0" fmla="*/ 0 w 754377"/>
            <a:gd name="connsiteY0" fmla="*/ 642523 h 642523"/>
            <a:gd name="connsiteX1" fmla="*/ 277668 w 754377"/>
            <a:gd name="connsiteY1" fmla="*/ 287581 h 642523"/>
            <a:gd name="connsiteX2" fmla="*/ 754377 w 754377"/>
            <a:gd name="connsiteY2" fmla="*/ 0 h 642523"/>
            <a:gd name="connsiteX0" fmla="*/ 0 w 774371"/>
            <a:gd name="connsiteY0" fmla="*/ 644066 h 644066"/>
            <a:gd name="connsiteX1" fmla="*/ 297662 w 774371"/>
            <a:gd name="connsiteY1" fmla="*/ 287581 h 644066"/>
            <a:gd name="connsiteX2" fmla="*/ 774371 w 774371"/>
            <a:gd name="connsiteY2" fmla="*/ 0 h 6440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74371" h="644066">
              <a:moveTo>
                <a:pt x="0" y="644066"/>
              </a:moveTo>
              <a:cubicBezTo>
                <a:pt x="78764" y="495085"/>
                <a:pt x="171807" y="403896"/>
                <a:pt x="297662" y="287581"/>
              </a:cubicBezTo>
              <a:cubicBezTo>
                <a:pt x="423517" y="171266"/>
                <a:pt x="611346" y="75711"/>
                <a:pt x="774371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571023</xdr:colOff>
      <xdr:row>28</xdr:row>
      <xdr:rowOff>100081</xdr:rowOff>
    </xdr:from>
    <xdr:to>
      <xdr:col>3</xdr:col>
      <xdr:colOff>1076581</xdr:colOff>
      <xdr:row>28</xdr:row>
      <xdr:rowOff>620293</xdr:rowOff>
    </xdr:to>
    <xdr:sp macro="" textlink="">
      <xdr:nvSpPr>
        <xdr:cNvPr id="223" name="Полилиния 222"/>
        <xdr:cNvSpPr/>
      </xdr:nvSpPr>
      <xdr:spPr>
        <a:xfrm rot="11064811">
          <a:off x="2117435" y="37572552"/>
          <a:ext cx="505558" cy="520212"/>
        </a:xfrm>
        <a:custGeom>
          <a:avLst/>
          <a:gdLst>
            <a:gd name="connsiteX0" fmla="*/ 0 w 505558"/>
            <a:gd name="connsiteY0" fmla="*/ 0 h 520212"/>
            <a:gd name="connsiteX1" fmla="*/ 359020 w 505558"/>
            <a:gd name="connsiteY1" fmla="*/ 344366 h 520212"/>
            <a:gd name="connsiteX2" fmla="*/ 505558 w 505558"/>
            <a:gd name="connsiteY2" fmla="*/ 520212 h 5202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5558" h="520212">
              <a:moveTo>
                <a:pt x="0" y="0"/>
              </a:moveTo>
              <a:cubicBezTo>
                <a:pt x="137380" y="128832"/>
                <a:pt x="274760" y="257664"/>
                <a:pt x="359020" y="344366"/>
              </a:cubicBezTo>
              <a:cubicBezTo>
                <a:pt x="443280" y="431068"/>
                <a:pt x="474419" y="475640"/>
                <a:pt x="505558" y="52021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566078</xdr:colOff>
      <xdr:row>28</xdr:row>
      <xdr:rowOff>74893</xdr:rowOff>
    </xdr:from>
    <xdr:to>
      <xdr:col>3</xdr:col>
      <xdr:colOff>620401</xdr:colOff>
      <xdr:row>28</xdr:row>
      <xdr:rowOff>565797</xdr:rowOff>
    </xdr:to>
    <xdr:sp macro="" textlink="">
      <xdr:nvSpPr>
        <xdr:cNvPr id="224" name="Полилиния 223"/>
        <xdr:cNvSpPr/>
      </xdr:nvSpPr>
      <xdr:spPr>
        <a:xfrm rot="11064811">
          <a:off x="2112490" y="37547364"/>
          <a:ext cx="54323" cy="490904"/>
        </a:xfrm>
        <a:custGeom>
          <a:avLst/>
          <a:gdLst>
            <a:gd name="connsiteX0" fmla="*/ 10361 w 54323"/>
            <a:gd name="connsiteY0" fmla="*/ 0 h 490904"/>
            <a:gd name="connsiteX1" fmla="*/ 3034 w 54323"/>
            <a:gd name="connsiteY1" fmla="*/ 285750 h 490904"/>
            <a:gd name="connsiteX2" fmla="*/ 54323 w 54323"/>
            <a:gd name="connsiteY2" fmla="*/ 490904 h 4909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23" h="490904">
              <a:moveTo>
                <a:pt x="10361" y="0"/>
              </a:moveTo>
              <a:cubicBezTo>
                <a:pt x="3034" y="101966"/>
                <a:pt x="-4293" y="203933"/>
                <a:pt x="3034" y="285750"/>
              </a:cubicBezTo>
              <a:cubicBezTo>
                <a:pt x="10361" y="367567"/>
                <a:pt x="32342" y="429235"/>
                <a:pt x="54323" y="49090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821261</xdr:colOff>
      <xdr:row>28</xdr:row>
      <xdr:rowOff>991438</xdr:rowOff>
    </xdr:from>
    <xdr:to>
      <xdr:col>3</xdr:col>
      <xdr:colOff>995275</xdr:colOff>
      <xdr:row>28</xdr:row>
      <xdr:rowOff>1360531</xdr:rowOff>
    </xdr:to>
    <xdr:sp macro="" textlink="">
      <xdr:nvSpPr>
        <xdr:cNvPr id="225" name="Полилиния 224"/>
        <xdr:cNvSpPr/>
      </xdr:nvSpPr>
      <xdr:spPr>
        <a:xfrm rot="11064811">
          <a:off x="2367673" y="38463909"/>
          <a:ext cx="174014" cy="369093"/>
        </a:xfrm>
        <a:custGeom>
          <a:avLst/>
          <a:gdLst>
            <a:gd name="connsiteX0" fmla="*/ 0 w 161192"/>
            <a:gd name="connsiteY0" fmla="*/ 534866 h 534866"/>
            <a:gd name="connsiteX1" fmla="*/ 117231 w 161192"/>
            <a:gd name="connsiteY1" fmla="*/ 278423 h 534866"/>
            <a:gd name="connsiteX2" fmla="*/ 161192 w 161192"/>
            <a:gd name="connsiteY2" fmla="*/ 0 h 534866"/>
            <a:gd name="connsiteX0" fmla="*/ 0 w 286091"/>
            <a:gd name="connsiteY0" fmla="*/ 570054 h 570054"/>
            <a:gd name="connsiteX1" fmla="*/ 117231 w 286091"/>
            <a:gd name="connsiteY1" fmla="*/ 313611 h 570054"/>
            <a:gd name="connsiteX2" fmla="*/ 286091 w 286091"/>
            <a:gd name="connsiteY2" fmla="*/ 0 h 570054"/>
            <a:gd name="connsiteX0" fmla="*/ 0 w 286091"/>
            <a:gd name="connsiteY0" fmla="*/ 570054 h 570054"/>
            <a:gd name="connsiteX1" fmla="*/ 221311 w 286091"/>
            <a:gd name="connsiteY1" fmla="*/ 222120 h 570054"/>
            <a:gd name="connsiteX2" fmla="*/ 286091 w 286091"/>
            <a:gd name="connsiteY2" fmla="*/ 0 h 570054"/>
            <a:gd name="connsiteX0" fmla="*/ 0 w 202825"/>
            <a:gd name="connsiteY0" fmla="*/ 436337 h 436337"/>
            <a:gd name="connsiteX1" fmla="*/ 138045 w 202825"/>
            <a:gd name="connsiteY1" fmla="*/ 222120 h 436337"/>
            <a:gd name="connsiteX2" fmla="*/ 202825 w 202825"/>
            <a:gd name="connsiteY2" fmla="*/ 0 h 436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2825" h="436337">
              <a:moveTo>
                <a:pt x="0" y="436337"/>
              </a:moveTo>
              <a:cubicBezTo>
                <a:pt x="45183" y="352687"/>
                <a:pt x="111180" y="311264"/>
                <a:pt x="138045" y="222120"/>
              </a:cubicBezTo>
              <a:cubicBezTo>
                <a:pt x="164910" y="132976"/>
                <a:pt x="194277" y="94639"/>
                <a:pt x="20282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165136</xdr:colOff>
      <xdr:row>28</xdr:row>
      <xdr:rowOff>794216</xdr:rowOff>
    </xdr:from>
    <xdr:to>
      <xdr:col>3</xdr:col>
      <xdr:colOff>839025</xdr:colOff>
      <xdr:row>28</xdr:row>
      <xdr:rowOff>1428841</xdr:rowOff>
    </xdr:to>
    <xdr:sp macro="" textlink="">
      <xdr:nvSpPr>
        <xdr:cNvPr id="226" name="Полилиния 225"/>
        <xdr:cNvSpPr/>
      </xdr:nvSpPr>
      <xdr:spPr>
        <a:xfrm rot="11064811">
          <a:off x="1709189" y="38252532"/>
          <a:ext cx="673889" cy="634625"/>
        </a:xfrm>
        <a:custGeom>
          <a:avLst/>
          <a:gdLst>
            <a:gd name="connsiteX0" fmla="*/ 0 w 791307"/>
            <a:gd name="connsiteY0" fmla="*/ 0 h 864577"/>
            <a:gd name="connsiteX1" fmla="*/ 65942 w 791307"/>
            <a:gd name="connsiteY1" fmla="*/ 293077 h 864577"/>
            <a:gd name="connsiteX2" fmla="*/ 351692 w 791307"/>
            <a:gd name="connsiteY2" fmla="*/ 644769 h 864577"/>
            <a:gd name="connsiteX3" fmla="*/ 791307 w 791307"/>
            <a:gd name="connsiteY3" fmla="*/ 864577 h 864577"/>
            <a:gd name="connsiteX0" fmla="*/ 0 w 725365"/>
            <a:gd name="connsiteY0" fmla="*/ 0 h 571500"/>
            <a:gd name="connsiteX1" fmla="*/ 285750 w 725365"/>
            <a:gd name="connsiteY1" fmla="*/ 351692 h 571500"/>
            <a:gd name="connsiteX2" fmla="*/ 725365 w 725365"/>
            <a:gd name="connsiteY2" fmla="*/ 571500 h 571500"/>
            <a:gd name="connsiteX0" fmla="*/ 0 w 761083"/>
            <a:gd name="connsiteY0" fmla="*/ 0 h 660797"/>
            <a:gd name="connsiteX1" fmla="*/ 321468 w 761083"/>
            <a:gd name="connsiteY1" fmla="*/ 440989 h 660797"/>
            <a:gd name="connsiteX2" fmla="*/ 761083 w 761083"/>
            <a:gd name="connsiteY2" fmla="*/ 660797 h 660797"/>
            <a:gd name="connsiteX0" fmla="*/ 0 w 749177"/>
            <a:gd name="connsiteY0" fmla="*/ 0 h 607219"/>
            <a:gd name="connsiteX1" fmla="*/ 309562 w 749177"/>
            <a:gd name="connsiteY1" fmla="*/ 387411 h 607219"/>
            <a:gd name="connsiteX2" fmla="*/ 749177 w 749177"/>
            <a:gd name="connsiteY2" fmla="*/ 607219 h 607219"/>
            <a:gd name="connsiteX0" fmla="*/ 0 w 767037"/>
            <a:gd name="connsiteY0" fmla="*/ 0 h 672703"/>
            <a:gd name="connsiteX1" fmla="*/ 327422 w 767037"/>
            <a:gd name="connsiteY1" fmla="*/ 452895 h 672703"/>
            <a:gd name="connsiteX2" fmla="*/ 767037 w 767037"/>
            <a:gd name="connsiteY2" fmla="*/ 672703 h 672703"/>
            <a:gd name="connsiteX0" fmla="*/ 0 w 677741"/>
            <a:gd name="connsiteY0" fmla="*/ 0 h 684609"/>
            <a:gd name="connsiteX1" fmla="*/ 238126 w 677741"/>
            <a:gd name="connsiteY1" fmla="*/ 464801 h 684609"/>
            <a:gd name="connsiteX2" fmla="*/ 677741 w 677741"/>
            <a:gd name="connsiteY2" fmla="*/ 684609 h 684609"/>
            <a:gd name="connsiteX0" fmla="*/ 5 w 677746"/>
            <a:gd name="connsiteY0" fmla="*/ 0 h 684609"/>
            <a:gd name="connsiteX1" fmla="*/ 238131 w 677746"/>
            <a:gd name="connsiteY1" fmla="*/ 464801 h 684609"/>
            <a:gd name="connsiteX2" fmla="*/ 677746 w 677746"/>
            <a:gd name="connsiteY2" fmla="*/ 684609 h 684609"/>
            <a:gd name="connsiteX0" fmla="*/ 6 w 673889"/>
            <a:gd name="connsiteY0" fmla="*/ 0 h 634625"/>
            <a:gd name="connsiteX1" fmla="*/ 234274 w 673889"/>
            <a:gd name="connsiteY1" fmla="*/ 414817 h 634625"/>
            <a:gd name="connsiteX2" fmla="*/ 673889 w 673889"/>
            <a:gd name="connsiteY2" fmla="*/ 634625 h 634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3889" h="634625">
              <a:moveTo>
                <a:pt x="6" y="0"/>
              </a:moveTo>
              <a:cubicBezTo>
                <a:pt x="-911" y="226524"/>
                <a:pt x="106435" y="302700"/>
                <a:pt x="234274" y="414817"/>
              </a:cubicBezTo>
              <a:cubicBezTo>
                <a:pt x="362113" y="526934"/>
                <a:pt x="514528" y="572346"/>
                <a:pt x="673889" y="634625"/>
              </a:cubicBezTo>
            </a:path>
          </a:pathLst>
        </a:custGeom>
        <a:noFill/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772083</xdr:colOff>
      <xdr:row>28</xdr:row>
      <xdr:rowOff>1405278</xdr:rowOff>
    </xdr:from>
    <xdr:to>
      <xdr:col>3</xdr:col>
      <xdr:colOff>844083</xdr:colOff>
      <xdr:row>28</xdr:row>
      <xdr:rowOff>1477278</xdr:rowOff>
    </xdr:to>
    <xdr:sp macro="" textlink="">
      <xdr:nvSpPr>
        <xdr:cNvPr id="227" name="Овал 22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1064811">
          <a:off x="2310737" y="3886050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560902</xdr:colOff>
      <xdr:row>28</xdr:row>
      <xdr:rowOff>961237</xdr:rowOff>
    </xdr:from>
    <xdr:to>
      <xdr:col>3</xdr:col>
      <xdr:colOff>642545</xdr:colOff>
      <xdr:row>28</xdr:row>
      <xdr:rowOff>1059209</xdr:rowOff>
    </xdr:to>
    <xdr:sp macro="" textlink="">
      <xdr:nvSpPr>
        <xdr:cNvPr id="228" name="Прямоугольник 227"/>
        <xdr:cNvSpPr/>
      </xdr:nvSpPr>
      <xdr:spPr>
        <a:xfrm rot="2700000">
          <a:off x="2096791" y="38427717"/>
          <a:ext cx="97972" cy="81643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295148</xdr:colOff>
      <xdr:row>36</xdr:row>
      <xdr:rowOff>796267</xdr:rowOff>
    </xdr:from>
    <xdr:to>
      <xdr:col>3</xdr:col>
      <xdr:colOff>498968</xdr:colOff>
      <xdr:row>36</xdr:row>
      <xdr:rowOff>953935</xdr:rowOff>
    </xdr:to>
    <xdr:cxnSp macro="">
      <xdr:nvCxnSpPr>
        <xdr:cNvPr id="229" name="Прямая со стрелкой 228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rot="16200000">
          <a:off x="1866037" y="50422254"/>
          <a:ext cx="157668" cy="203820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507310</xdr:colOff>
      <xdr:row>36</xdr:row>
      <xdr:rowOff>486168</xdr:rowOff>
    </xdr:from>
    <xdr:to>
      <xdr:col>3</xdr:col>
      <xdr:colOff>1001231</xdr:colOff>
      <xdr:row>36</xdr:row>
      <xdr:rowOff>980089</xdr:rowOff>
    </xdr:to>
    <xdr:sp macro="" textlink="">
      <xdr:nvSpPr>
        <xdr:cNvPr id="230" name="Овал 229"/>
        <xdr:cNvSpPr/>
      </xdr:nvSpPr>
      <xdr:spPr>
        <a:xfrm rot="16200000">
          <a:off x="2055123" y="50135231"/>
          <a:ext cx="493921" cy="493921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628392</xdr:colOff>
      <xdr:row>36</xdr:row>
      <xdr:rowOff>1410857</xdr:rowOff>
    </xdr:from>
    <xdr:to>
      <xdr:col>3</xdr:col>
      <xdr:colOff>700392</xdr:colOff>
      <xdr:row>36</xdr:row>
      <xdr:rowOff>1482857</xdr:rowOff>
    </xdr:to>
    <xdr:sp macro="" textlink="">
      <xdr:nvSpPr>
        <xdr:cNvPr id="231" name="Овал 230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4928559" flipH="1">
          <a:off x="2176205" y="5105992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631415</xdr:colOff>
      <xdr:row>36</xdr:row>
      <xdr:rowOff>85118</xdr:rowOff>
    </xdr:from>
    <xdr:to>
      <xdr:col>3</xdr:col>
      <xdr:colOff>1332582</xdr:colOff>
      <xdr:row>36</xdr:row>
      <xdr:rowOff>744034</xdr:rowOff>
    </xdr:to>
    <xdr:sp macro="" textlink="">
      <xdr:nvSpPr>
        <xdr:cNvPr id="232" name="Полилиния 231"/>
        <xdr:cNvSpPr/>
      </xdr:nvSpPr>
      <xdr:spPr>
        <a:xfrm rot="16200000">
          <a:off x="2200354" y="49713055"/>
          <a:ext cx="658916" cy="701167"/>
        </a:xfrm>
        <a:custGeom>
          <a:avLst/>
          <a:gdLst>
            <a:gd name="connsiteX0" fmla="*/ 0 w 636985"/>
            <a:gd name="connsiteY0" fmla="*/ 738187 h 738187"/>
            <a:gd name="connsiteX1" fmla="*/ 190500 w 636985"/>
            <a:gd name="connsiteY1" fmla="*/ 184546 h 738187"/>
            <a:gd name="connsiteX2" fmla="*/ 636985 w 636985"/>
            <a:gd name="connsiteY2" fmla="*/ 0 h 738187"/>
            <a:gd name="connsiteX0" fmla="*/ 0 w 695600"/>
            <a:gd name="connsiteY0" fmla="*/ 701553 h 701553"/>
            <a:gd name="connsiteX1" fmla="*/ 249115 w 695600"/>
            <a:gd name="connsiteY1" fmla="*/ 184546 h 701553"/>
            <a:gd name="connsiteX2" fmla="*/ 695600 w 695600"/>
            <a:gd name="connsiteY2" fmla="*/ 0 h 701553"/>
            <a:gd name="connsiteX0" fmla="*/ 0 w 680946"/>
            <a:gd name="connsiteY0" fmla="*/ 752841 h 752841"/>
            <a:gd name="connsiteX1" fmla="*/ 249115 w 680946"/>
            <a:gd name="connsiteY1" fmla="*/ 235834 h 752841"/>
            <a:gd name="connsiteX2" fmla="*/ 680946 w 680946"/>
            <a:gd name="connsiteY2" fmla="*/ 0 h 752841"/>
            <a:gd name="connsiteX0" fmla="*/ 0 w 688273"/>
            <a:gd name="connsiteY0" fmla="*/ 855418 h 855418"/>
            <a:gd name="connsiteX1" fmla="*/ 249115 w 688273"/>
            <a:gd name="connsiteY1" fmla="*/ 338411 h 855418"/>
            <a:gd name="connsiteX2" fmla="*/ 688273 w 688273"/>
            <a:gd name="connsiteY2" fmla="*/ 0 h 855418"/>
            <a:gd name="connsiteX0" fmla="*/ 0 w 688273"/>
            <a:gd name="connsiteY0" fmla="*/ 855418 h 855418"/>
            <a:gd name="connsiteX1" fmla="*/ 205154 w 688273"/>
            <a:gd name="connsiteY1" fmla="*/ 353065 h 855418"/>
            <a:gd name="connsiteX2" fmla="*/ 688273 w 688273"/>
            <a:gd name="connsiteY2" fmla="*/ 0 h 855418"/>
            <a:gd name="connsiteX0" fmla="*/ 0 w 688273"/>
            <a:gd name="connsiteY0" fmla="*/ 855418 h 855418"/>
            <a:gd name="connsiteX1" fmla="*/ 205154 w 688273"/>
            <a:gd name="connsiteY1" fmla="*/ 353065 h 855418"/>
            <a:gd name="connsiteX2" fmla="*/ 625078 w 688273"/>
            <a:gd name="connsiteY2" fmla="*/ 91586 h 855418"/>
            <a:gd name="connsiteX3" fmla="*/ 688273 w 688273"/>
            <a:gd name="connsiteY3" fmla="*/ 0 h 855418"/>
            <a:gd name="connsiteX0" fmla="*/ 0 w 625078"/>
            <a:gd name="connsiteY0" fmla="*/ 763832 h 763832"/>
            <a:gd name="connsiteX1" fmla="*/ 205154 w 625078"/>
            <a:gd name="connsiteY1" fmla="*/ 261479 h 763832"/>
            <a:gd name="connsiteX2" fmla="*/ 625078 w 625078"/>
            <a:gd name="connsiteY2" fmla="*/ 0 h 763832"/>
            <a:gd name="connsiteX0" fmla="*/ 0 w 620065"/>
            <a:gd name="connsiteY0" fmla="*/ 743779 h 743779"/>
            <a:gd name="connsiteX1" fmla="*/ 205154 w 620065"/>
            <a:gd name="connsiteY1" fmla="*/ 241426 h 743779"/>
            <a:gd name="connsiteX2" fmla="*/ 620065 w 620065"/>
            <a:gd name="connsiteY2" fmla="*/ 0 h 743779"/>
            <a:gd name="connsiteX0" fmla="*/ 0 w 620065"/>
            <a:gd name="connsiteY0" fmla="*/ 743779 h 743779"/>
            <a:gd name="connsiteX1" fmla="*/ 205154 w 620065"/>
            <a:gd name="connsiteY1" fmla="*/ 241426 h 743779"/>
            <a:gd name="connsiteX2" fmla="*/ 620065 w 620065"/>
            <a:gd name="connsiteY2" fmla="*/ 0 h 743779"/>
            <a:gd name="connsiteX0" fmla="*/ 0 w 655157"/>
            <a:gd name="connsiteY0" fmla="*/ 773858 h 773858"/>
            <a:gd name="connsiteX1" fmla="*/ 205154 w 655157"/>
            <a:gd name="connsiteY1" fmla="*/ 271505 h 773858"/>
            <a:gd name="connsiteX2" fmla="*/ 655157 w 655157"/>
            <a:gd name="connsiteY2" fmla="*/ 0 h 773858"/>
            <a:gd name="connsiteX0" fmla="*/ 0 w 635104"/>
            <a:gd name="connsiteY0" fmla="*/ 748792 h 748792"/>
            <a:gd name="connsiteX1" fmla="*/ 205154 w 635104"/>
            <a:gd name="connsiteY1" fmla="*/ 246439 h 748792"/>
            <a:gd name="connsiteX2" fmla="*/ 635104 w 635104"/>
            <a:gd name="connsiteY2" fmla="*/ 0 h 748792"/>
            <a:gd name="connsiteX0" fmla="*/ 0 w 658916"/>
            <a:gd name="connsiteY0" fmla="*/ 701167 h 701167"/>
            <a:gd name="connsiteX1" fmla="*/ 228966 w 658916"/>
            <a:gd name="connsiteY1" fmla="*/ 246439 h 701167"/>
            <a:gd name="connsiteX2" fmla="*/ 658916 w 658916"/>
            <a:gd name="connsiteY2" fmla="*/ 0 h 701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58916" h="701167">
              <a:moveTo>
                <a:pt x="0" y="701167"/>
              </a:moveTo>
              <a:cubicBezTo>
                <a:pt x="42168" y="485862"/>
                <a:pt x="122802" y="369470"/>
                <a:pt x="228966" y="246439"/>
              </a:cubicBezTo>
              <a:cubicBezTo>
                <a:pt x="335588" y="105701"/>
                <a:pt x="543304" y="43805"/>
                <a:pt x="65891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653830</xdr:colOff>
      <xdr:row>36</xdr:row>
      <xdr:rowOff>718799</xdr:rowOff>
    </xdr:from>
    <xdr:to>
      <xdr:col>3</xdr:col>
      <xdr:colOff>1495486</xdr:colOff>
      <xdr:row>36</xdr:row>
      <xdr:rowOff>1280515</xdr:rowOff>
    </xdr:to>
    <xdr:sp macro="" textlink="">
      <xdr:nvSpPr>
        <xdr:cNvPr id="233" name="Полилиния 232"/>
        <xdr:cNvSpPr/>
      </xdr:nvSpPr>
      <xdr:spPr>
        <a:xfrm rot="16200000">
          <a:off x="2341613" y="50227892"/>
          <a:ext cx="561716" cy="841656"/>
        </a:xfrm>
        <a:custGeom>
          <a:avLst/>
          <a:gdLst>
            <a:gd name="connsiteX0" fmla="*/ 0 w 684610"/>
            <a:gd name="connsiteY0" fmla="*/ 0 h 666750"/>
            <a:gd name="connsiteX1" fmla="*/ 517922 w 684610"/>
            <a:gd name="connsiteY1" fmla="*/ 142875 h 666750"/>
            <a:gd name="connsiteX2" fmla="*/ 684610 w 684610"/>
            <a:gd name="connsiteY2" fmla="*/ 666750 h 666750"/>
            <a:gd name="connsiteX0" fmla="*/ 0 w 750552"/>
            <a:gd name="connsiteY0" fmla="*/ 0 h 666750"/>
            <a:gd name="connsiteX1" fmla="*/ 517922 w 750552"/>
            <a:gd name="connsiteY1" fmla="*/ 142875 h 666750"/>
            <a:gd name="connsiteX2" fmla="*/ 750552 w 750552"/>
            <a:gd name="connsiteY2" fmla="*/ 666750 h 666750"/>
            <a:gd name="connsiteX0" fmla="*/ 0 w 647975"/>
            <a:gd name="connsiteY0" fmla="*/ 0 h 762000"/>
            <a:gd name="connsiteX1" fmla="*/ 415345 w 647975"/>
            <a:gd name="connsiteY1" fmla="*/ 238125 h 762000"/>
            <a:gd name="connsiteX2" fmla="*/ 647975 w 647975"/>
            <a:gd name="connsiteY2" fmla="*/ 762000 h 762000"/>
            <a:gd name="connsiteX0" fmla="*/ 0 w 662629"/>
            <a:gd name="connsiteY0" fmla="*/ 0 h 805962"/>
            <a:gd name="connsiteX1" fmla="*/ 429999 w 662629"/>
            <a:gd name="connsiteY1" fmla="*/ 282087 h 805962"/>
            <a:gd name="connsiteX2" fmla="*/ 662629 w 662629"/>
            <a:gd name="connsiteY2" fmla="*/ 805962 h 805962"/>
            <a:gd name="connsiteX0" fmla="*/ 0 w 604014"/>
            <a:gd name="connsiteY0" fmla="*/ 0 h 747346"/>
            <a:gd name="connsiteX1" fmla="*/ 371384 w 604014"/>
            <a:gd name="connsiteY1" fmla="*/ 223471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406789 w 604014"/>
            <a:gd name="connsiteY2" fmla="*/ 242898 h 747346"/>
            <a:gd name="connsiteX3" fmla="*/ 604014 w 604014"/>
            <a:gd name="connsiteY3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406789 w 604014"/>
            <a:gd name="connsiteY2" fmla="*/ 242898 h 747346"/>
            <a:gd name="connsiteX3" fmla="*/ 604014 w 604014"/>
            <a:gd name="connsiteY3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311539 w 604014"/>
            <a:gd name="connsiteY1" fmla="*/ 112555 h 747346"/>
            <a:gd name="connsiteX2" fmla="*/ 416503 w 604014"/>
            <a:gd name="connsiteY2" fmla="*/ 218458 h 747346"/>
            <a:gd name="connsiteX3" fmla="*/ 604014 w 604014"/>
            <a:gd name="connsiteY3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396450 w 604014"/>
            <a:gd name="connsiteY1" fmla="*/ 243524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381411 w 604014"/>
            <a:gd name="connsiteY1" fmla="*/ 228484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401463 w 604014"/>
            <a:gd name="connsiteY1" fmla="*/ 228484 h 747346"/>
            <a:gd name="connsiteX2" fmla="*/ 604014 w 604014"/>
            <a:gd name="connsiteY2" fmla="*/ 747346 h 747346"/>
            <a:gd name="connsiteX0" fmla="*/ 0 w 473672"/>
            <a:gd name="connsiteY0" fmla="*/ 0 h 762385"/>
            <a:gd name="connsiteX1" fmla="*/ 271121 w 473672"/>
            <a:gd name="connsiteY1" fmla="*/ 243523 h 762385"/>
            <a:gd name="connsiteX2" fmla="*/ 473672 w 473672"/>
            <a:gd name="connsiteY2" fmla="*/ 762385 h 762385"/>
            <a:gd name="connsiteX0" fmla="*/ 0 w 543857"/>
            <a:gd name="connsiteY0" fmla="*/ 0 h 752359"/>
            <a:gd name="connsiteX1" fmla="*/ 341306 w 543857"/>
            <a:gd name="connsiteY1" fmla="*/ 233497 h 752359"/>
            <a:gd name="connsiteX2" fmla="*/ 543857 w 543857"/>
            <a:gd name="connsiteY2" fmla="*/ 752359 h 752359"/>
            <a:gd name="connsiteX0" fmla="*/ 0 w 543857"/>
            <a:gd name="connsiteY0" fmla="*/ 0 h 752359"/>
            <a:gd name="connsiteX1" fmla="*/ 341306 w 543857"/>
            <a:gd name="connsiteY1" fmla="*/ 233497 h 752359"/>
            <a:gd name="connsiteX2" fmla="*/ 543857 w 543857"/>
            <a:gd name="connsiteY2" fmla="*/ 752359 h 752359"/>
            <a:gd name="connsiteX0" fmla="*/ 0 w 561716"/>
            <a:gd name="connsiteY0" fmla="*/ 0 h 841656"/>
            <a:gd name="connsiteX1" fmla="*/ 341306 w 561716"/>
            <a:gd name="connsiteY1" fmla="*/ 233497 h 841656"/>
            <a:gd name="connsiteX2" fmla="*/ 561716 w 561716"/>
            <a:gd name="connsiteY2" fmla="*/ 841656 h 841656"/>
            <a:gd name="connsiteX0" fmla="*/ 0 w 561716"/>
            <a:gd name="connsiteY0" fmla="*/ 0 h 841656"/>
            <a:gd name="connsiteX1" fmla="*/ 341306 w 561716"/>
            <a:gd name="connsiteY1" fmla="*/ 233497 h 841656"/>
            <a:gd name="connsiteX2" fmla="*/ 561716 w 561716"/>
            <a:gd name="connsiteY2" fmla="*/ 841656 h 8416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1716" h="841656">
              <a:moveTo>
                <a:pt x="0" y="0"/>
              </a:moveTo>
              <a:cubicBezTo>
                <a:pt x="141916" y="20446"/>
                <a:pt x="240637" y="108939"/>
                <a:pt x="341306" y="233497"/>
              </a:cubicBezTo>
              <a:cubicBezTo>
                <a:pt x="441975" y="358055"/>
                <a:pt x="546464" y="695753"/>
                <a:pt x="561716" y="841656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497263</xdr:colOff>
      <xdr:row>36</xdr:row>
      <xdr:rowOff>68534</xdr:rowOff>
    </xdr:from>
    <xdr:to>
      <xdr:col>3</xdr:col>
      <xdr:colOff>673071</xdr:colOff>
      <xdr:row>36</xdr:row>
      <xdr:rowOff>1453735</xdr:rowOff>
    </xdr:to>
    <xdr:sp macro="" textlink="">
      <xdr:nvSpPr>
        <xdr:cNvPr id="234" name="Полилиния 233"/>
        <xdr:cNvSpPr/>
      </xdr:nvSpPr>
      <xdr:spPr>
        <a:xfrm rot="16200000">
          <a:off x="1440379" y="50322294"/>
          <a:ext cx="1385201" cy="175808"/>
        </a:xfrm>
        <a:custGeom>
          <a:avLst/>
          <a:gdLst>
            <a:gd name="connsiteX0" fmla="*/ 1416844 w 1416844"/>
            <a:gd name="connsiteY0" fmla="*/ 125115 h 142974"/>
            <a:gd name="connsiteX1" fmla="*/ 726281 w 1416844"/>
            <a:gd name="connsiteY1" fmla="*/ 99 h 142974"/>
            <a:gd name="connsiteX2" fmla="*/ 0 w 1416844"/>
            <a:gd name="connsiteY2" fmla="*/ 142974 h 142974"/>
            <a:gd name="connsiteX0" fmla="*/ 1431498 w 1431498"/>
            <a:gd name="connsiteY0" fmla="*/ 234958 h 234958"/>
            <a:gd name="connsiteX1" fmla="*/ 726281 w 1431498"/>
            <a:gd name="connsiteY1" fmla="*/ 38 h 234958"/>
            <a:gd name="connsiteX2" fmla="*/ 0 w 1431498"/>
            <a:gd name="connsiteY2" fmla="*/ 142913 h 234958"/>
            <a:gd name="connsiteX0" fmla="*/ 1416844 w 1416844"/>
            <a:gd name="connsiteY0" fmla="*/ 132433 h 142965"/>
            <a:gd name="connsiteX1" fmla="*/ 726281 w 1416844"/>
            <a:gd name="connsiteY1" fmla="*/ 90 h 142965"/>
            <a:gd name="connsiteX2" fmla="*/ 0 w 1416844"/>
            <a:gd name="connsiteY2" fmla="*/ 142965 h 142965"/>
            <a:gd name="connsiteX0" fmla="*/ 1431498 w 1431498"/>
            <a:gd name="connsiteY0" fmla="*/ 132433 h 230888"/>
            <a:gd name="connsiteX1" fmla="*/ 740935 w 1431498"/>
            <a:gd name="connsiteY1" fmla="*/ 90 h 230888"/>
            <a:gd name="connsiteX2" fmla="*/ 0 w 1431498"/>
            <a:gd name="connsiteY2" fmla="*/ 230888 h 230888"/>
            <a:gd name="connsiteX0" fmla="*/ 1438825 w 1438825"/>
            <a:gd name="connsiteY0" fmla="*/ 132433 h 260196"/>
            <a:gd name="connsiteX1" fmla="*/ 748262 w 1438825"/>
            <a:gd name="connsiteY1" fmla="*/ 90 h 260196"/>
            <a:gd name="connsiteX2" fmla="*/ 0 w 1438825"/>
            <a:gd name="connsiteY2" fmla="*/ 260196 h 260196"/>
            <a:gd name="connsiteX0" fmla="*/ 1438825 w 1438825"/>
            <a:gd name="connsiteY0" fmla="*/ 33828 h 161591"/>
            <a:gd name="connsiteX1" fmla="*/ 748262 w 1438825"/>
            <a:gd name="connsiteY1" fmla="*/ 18716 h 161591"/>
            <a:gd name="connsiteX2" fmla="*/ 0 w 1438825"/>
            <a:gd name="connsiteY2" fmla="*/ 161591 h 161591"/>
            <a:gd name="connsiteX0" fmla="*/ 1416844 w 1416844"/>
            <a:gd name="connsiteY0" fmla="*/ 117802 h 142988"/>
            <a:gd name="connsiteX1" fmla="*/ 748262 w 1416844"/>
            <a:gd name="connsiteY1" fmla="*/ 113 h 142988"/>
            <a:gd name="connsiteX2" fmla="*/ 0 w 1416844"/>
            <a:gd name="connsiteY2" fmla="*/ 142988 h 142988"/>
            <a:gd name="connsiteX0" fmla="*/ 1416844 w 1416844"/>
            <a:gd name="connsiteY0" fmla="*/ 117802 h 142988"/>
            <a:gd name="connsiteX1" fmla="*/ 748262 w 1416844"/>
            <a:gd name="connsiteY1" fmla="*/ 113 h 142988"/>
            <a:gd name="connsiteX2" fmla="*/ 0 w 1416844"/>
            <a:gd name="connsiteY2" fmla="*/ 142988 h 142988"/>
            <a:gd name="connsiteX0" fmla="*/ 1416844 w 1416844"/>
            <a:gd name="connsiteY0" fmla="*/ 130715 h 155901"/>
            <a:gd name="connsiteX1" fmla="*/ 786730 w 1416844"/>
            <a:gd name="connsiteY1" fmla="*/ 19893 h 155901"/>
            <a:gd name="connsiteX2" fmla="*/ 748262 w 1416844"/>
            <a:gd name="connsiteY2" fmla="*/ 13026 h 155901"/>
            <a:gd name="connsiteX3" fmla="*/ 0 w 1416844"/>
            <a:gd name="connsiteY3" fmla="*/ 155901 h 155901"/>
            <a:gd name="connsiteX0" fmla="*/ 1416844 w 1416844"/>
            <a:gd name="connsiteY0" fmla="*/ 194447 h 219633"/>
            <a:gd name="connsiteX1" fmla="*/ 1017335 w 1416844"/>
            <a:gd name="connsiteY1" fmla="*/ 3415 h 219633"/>
            <a:gd name="connsiteX2" fmla="*/ 748262 w 1416844"/>
            <a:gd name="connsiteY2" fmla="*/ 76758 h 219633"/>
            <a:gd name="connsiteX3" fmla="*/ 0 w 1416844"/>
            <a:gd name="connsiteY3" fmla="*/ 219633 h 219633"/>
            <a:gd name="connsiteX0" fmla="*/ 1416844 w 1416844"/>
            <a:gd name="connsiteY0" fmla="*/ 117689 h 142875"/>
            <a:gd name="connsiteX1" fmla="*/ 748262 w 1416844"/>
            <a:gd name="connsiteY1" fmla="*/ 0 h 142875"/>
            <a:gd name="connsiteX2" fmla="*/ 0 w 1416844"/>
            <a:gd name="connsiteY2" fmla="*/ 142875 h 142875"/>
            <a:gd name="connsiteX0" fmla="*/ 1416844 w 1416844"/>
            <a:gd name="connsiteY0" fmla="*/ 77583 h 102769"/>
            <a:gd name="connsiteX1" fmla="*/ 748262 w 1416844"/>
            <a:gd name="connsiteY1" fmla="*/ 0 h 102769"/>
            <a:gd name="connsiteX2" fmla="*/ 0 w 1416844"/>
            <a:gd name="connsiteY2" fmla="*/ 102769 h 102769"/>
            <a:gd name="connsiteX0" fmla="*/ 1416844 w 1416844"/>
            <a:gd name="connsiteY0" fmla="*/ 127715 h 127715"/>
            <a:gd name="connsiteX1" fmla="*/ 748262 w 1416844"/>
            <a:gd name="connsiteY1" fmla="*/ 0 h 127715"/>
            <a:gd name="connsiteX2" fmla="*/ 0 w 1416844"/>
            <a:gd name="connsiteY2" fmla="*/ 102769 h 127715"/>
            <a:gd name="connsiteX0" fmla="*/ 1426870 w 1426870"/>
            <a:gd name="connsiteY0" fmla="*/ 127715 h 157914"/>
            <a:gd name="connsiteX1" fmla="*/ 758288 w 1426870"/>
            <a:gd name="connsiteY1" fmla="*/ 0 h 157914"/>
            <a:gd name="connsiteX2" fmla="*/ 0 w 1426870"/>
            <a:gd name="connsiteY2" fmla="*/ 157914 h 157914"/>
            <a:gd name="connsiteX0" fmla="*/ 1426870 w 1426870"/>
            <a:gd name="connsiteY0" fmla="*/ 127759 h 157958"/>
            <a:gd name="connsiteX1" fmla="*/ 758288 w 1426870"/>
            <a:gd name="connsiteY1" fmla="*/ 44 h 157958"/>
            <a:gd name="connsiteX2" fmla="*/ 190549 w 1426870"/>
            <a:gd name="connsiteY2" fmla="*/ 113727 h 157958"/>
            <a:gd name="connsiteX3" fmla="*/ 0 w 1426870"/>
            <a:gd name="connsiteY3" fmla="*/ 157958 h 157958"/>
            <a:gd name="connsiteX0" fmla="*/ 1426870 w 1426870"/>
            <a:gd name="connsiteY0" fmla="*/ 127747 h 164961"/>
            <a:gd name="connsiteX1" fmla="*/ 758288 w 1426870"/>
            <a:gd name="connsiteY1" fmla="*/ 32 h 164961"/>
            <a:gd name="connsiteX2" fmla="*/ 205588 w 1426870"/>
            <a:gd name="connsiteY2" fmla="*/ 153821 h 164961"/>
            <a:gd name="connsiteX3" fmla="*/ 0 w 1426870"/>
            <a:gd name="connsiteY3" fmla="*/ 157946 h 164961"/>
            <a:gd name="connsiteX0" fmla="*/ 1385201 w 1385201"/>
            <a:gd name="connsiteY0" fmla="*/ 127747 h 175808"/>
            <a:gd name="connsiteX1" fmla="*/ 716619 w 1385201"/>
            <a:gd name="connsiteY1" fmla="*/ 32 h 175808"/>
            <a:gd name="connsiteX2" fmla="*/ 163919 w 1385201"/>
            <a:gd name="connsiteY2" fmla="*/ 153821 h 175808"/>
            <a:gd name="connsiteX3" fmla="*/ 0 w 1385201"/>
            <a:gd name="connsiteY3" fmla="*/ 175808 h 1758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85201" h="175808">
              <a:moveTo>
                <a:pt x="1385201" y="127747"/>
              </a:moveTo>
              <a:lnTo>
                <a:pt x="716619" y="32"/>
              </a:lnTo>
              <a:cubicBezTo>
                <a:pt x="510566" y="-2307"/>
                <a:pt x="290300" y="127502"/>
                <a:pt x="163919" y="153821"/>
              </a:cubicBezTo>
              <a:cubicBezTo>
                <a:pt x="37538" y="180140"/>
                <a:pt x="31758" y="168436"/>
                <a:pt x="0" y="1758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520035</xdr:colOff>
      <xdr:row>36</xdr:row>
      <xdr:rowOff>1006911</xdr:rowOff>
    </xdr:from>
    <xdr:to>
      <xdr:col>3</xdr:col>
      <xdr:colOff>592035</xdr:colOff>
      <xdr:row>36</xdr:row>
      <xdr:rowOff>1078911</xdr:rowOff>
    </xdr:to>
    <xdr:sp macro="" textlink="">
      <xdr:nvSpPr>
        <xdr:cNvPr id="236" name="Прямоугольник 235"/>
        <xdr:cNvSpPr/>
      </xdr:nvSpPr>
      <xdr:spPr>
        <a:xfrm rot="16200000">
          <a:off x="2067848" y="50655974"/>
          <a:ext cx="72000" cy="72000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733188</xdr:colOff>
      <xdr:row>23</xdr:row>
      <xdr:rowOff>104408</xdr:rowOff>
    </xdr:from>
    <xdr:to>
      <xdr:col>3</xdr:col>
      <xdr:colOff>733188</xdr:colOff>
      <xdr:row>23</xdr:row>
      <xdr:rowOff>1416364</xdr:rowOff>
    </xdr:to>
    <xdr:cxnSp macro="">
      <xdr:nvCxnSpPr>
        <xdr:cNvPr id="179" name="Прямая со стрелкой 17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5773" y="29933920"/>
          <a:ext cx="0" cy="13119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733188</xdr:colOff>
      <xdr:row>24</xdr:row>
      <xdr:rowOff>90469</xdr:rowOff>
    </xdr:from>
    <xdr:to>
      <xdr:col>3</xdr:col>
      <xdr:colOff>733188</xdr:colOff>
      <xdr:row>24</xdr:row>
      <xdr:rowOff>1402425</xdr:rowOff>
    </xdr:to>
    <xdr:cxnSp macro="">
      <xdr:nvCxnSpPr>
        <xdr:cNvPr id="180" name="Прямая со стрелкой 17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5773" y="31443981"/>
          <a:ext cx="0" cy="13119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688763</xdr:colOff>
      <xdr:row>8</xdr:row>
      <xdr:rowOff>712305</xdr:rowOff>
    </xdr:from>
    <xdr:to>
      <xdr:col>3</xdr:col>
      <xdr:colOff>688763</xdr:colOff>
      <xdr:row>8</xdr:row>
      <xdr:rowOff>1012658</xdr:rowOff>
    </xdr:to>
    <xdr:cxnSp macro="">
      <xdr:nvCxnSpPr>
        <xdr:cNvPr id="171" name="Прямая со стрелкой 17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32816" y="7690621"/>
          <a:ext cx="0" cy="300353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673891</xdr:colOff>
      <xdr:row>26</xdr:row>
      <xdr:rowOff>1357589</xdr:rowOff>
    </xdr:from>
    <xdr:to>
      <xdr:col>3</xdr:col>
      <xdr:colOff>745891</xdr:colOff>
      <xdr:row>26</xdr:row>
      <xdr:rowOff>1429589</xdr:rowOff>
    </xdr:to>
    <xdr:sp macro="" textlink="">
      <xdr:nvSpPr>
        <xdr:cNvPr id="173" name="Овал 17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214456" y="357469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713612</xdr:colOff>
      <xdr:row>26</xdr:row>
      <xdr:rowOff>1035325</xdr:rowOff>
    </xdr:from>
    <xdr:to>
      <xdr:col>3</xdr:col>
      <xdr:colOff>713613</xdr:colOff>
      <xdr:row>26</xdr:row>
      <xdr:rowOff>1398374</xdr:rowOff>
    </xdr:to>
    <xdr:cxnSp macro="">
      <xdr:nvCxnSpPr>
        <xdr:cNvPr id="181" name="Прямая со стрелкой 18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54177" y="35424716"/>
          <a:ext cx="1" cy="363049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713612</xdr:colOff>
      <xdr:row>26</xdr:row>
      <xdr:rowOff>745434</xdr:rowOff>
    </xdr:from>
    <xdr:to>
      <xdr:col>3</xdr:col>
      <xdr:colOff>713612</xdr:colOff>
      <xdr:row>26</xdr:row>
      <xdr:rowOff>1045787</xdr:rowOff>
    </xdr:to>
    <xdr:cxnSp macro="">
      <xdr:nvCxnSpPr>
        <xdr:cNvPr id="182" name="Прямая со стрелкой 18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54177" y="35134825"/>
          <a:ext cx="0" cy="300353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935132</xdr:colOff>
      <xdr:row>19</xdr:row>
      <xdr:rowOff>49866</xdr:rowOff>
    </xdr:from>
    <xdr:to>
      <xdr:col>5</xdr:col>
      <xdr:colOff>254663</xdr:colOff>
      <xdr:row>19</xdr:row>
      <xdr:rowOff>668991</xdr:rowOff>
    </xdr:to>
    <xdr:pic>
      <xdr:nvPicPr>
        <xdr:cNvPr id="184" name="Рисунок 183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9332" y="23786166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1013570</xdr:colOff>
      <xdr:row>19</xdr:row>
      <xdr:rowOff>732955</xdr:rowOff>
    </xdr:from>
    <xdr:to>
      <xdr:col>5</xdr:col>
      <xdr:colOff>198903</xdr:colOff>
      <xdr:row>19</xdr:row>
      <xdr:rowOff>1298763</xdr:rowOff>
    </xdr:to>
    <xdr:pic>
      <xdr:nvPicPr>
        <xdr:cNvPr id="18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37770" y="24469255"/>
          <a:ext cx="566458" cy="565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914400</xdr:colOff>
      <xdr:row>19</xdr:row>
      <xdr:rowOff>752475</xdr:rowOff>
    </xdr:from>
    <xdr:to>
      <xdr:col>3</xdr:col>
      <xdr:colOff>986400</xdr:colOff>
      <xdr:row>19</xdr:row>
      <xdr:rowOff>824475</xdr:rowOff>
    </xdr:to>
    <xdr:sp macro="" textlink="">
      <xdr:nvSpPr>
        <xdr:cNvPr id="188" name="5-конечная звезда 187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7450" y="244887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85725</xdr:colOff>
      <xdr:row>21</xdr:row>
      <xdr:rowOff>409575</xdr:rowOff>
    </xdr:from>
    <xdr:to>
      <xdr:col>3</xdr:col>
      <xdr:colOff>704850</xdr:colOff>
      <xdr:row>21</xdr:row>
      <xdr:rowOff>666750</xdr:rowOff>
    </xdr:to>
    <xdr:cxnSp macro="">
      <xdr:nvCxnSpPr>
        <xdr:cNvPr id="189" name="Прямая со стрелкой 18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28775" y="27193875"/>
          <a:ext cx="619125" cy="257175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733424</xdr:colOff>
      <xdr:row>24</xdr:row>
      <xdr:rowOff>654382</xdr:rowOff>
    </xdr:from>
    <xdr:to>
      <xdr:col>3</xdr:col>
      <xdr:colOff>951139</xdr:colOff>
      <xdr:row>24</xdr:row>
      <xdr:rowOff>926018</xdr:rowOff>
    </xdr:to>
    <xdr:cxnSp macro="">
      <xdr:nvCxnSpPr>
        <xdr:cNvPr id="190" name="Прямая со стрелкой 18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274742" y="32017609"/>
          <a:ext cx="217715" cy="271636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914400</xdr:colOff>
      <xdr:row>21</xdr:row>
      <xdr:rowOff>534761</xdr:rowOff>
    </xdr:from>
    <xdr:to>
      <xdr:col>3</xdr:col>
      <xdr:colOff>986400</xdr:colOff>
      <xdr:row>21</xdr:row>
      <xdr:rowOff>606761</xdr:rowOff>
    </xdr:to>
    <xdr:sp macro="" textlink="">
      <xdr:nvSpPr>
        <xdr:cNvPr id="193" name="5-конечная звезда 192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65614" y="2731361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941293</xdr:colOff>
      <xdr:row>40</xdr:row>
      <xdr:rowOff>368332</xdr:rowOff>
    </xdr:from>
    <xdr:ext cx="609653" cy="609653"/>
    <xdr:pic>
      <xdr:nvPicPr>
        <xdr:cNvPr id="196" name="Рисунок 195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734" y="56128803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787436</xdr:colOff>
      <xdr:row>40</xdr:row>
      <xdr:rowOff>89647</xdr:rowOff>
    </xdr:from>
    <xdr:to>
      <xdr:col>3</xdr:col>
      <xdr:colOff>787436</xdr:colOff>
      <xdr:row>40</xdr:row>
      <xdr:rowOff>1379187</xdr:rowOff>
    </xdr:to>
    <xdr:cxnSp macro="">
      <xdr:nvCxnSpPr>
        <xdr:cNvPr id="200" name="Прямая со стрелкой 19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3848" y="55850118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746443</xdr:colOff>
      <xdr:row>40</xdr:row>
      <xdr:rowOff>1361491</xdr:rowOff>
    </xdr:from>
    <xdr:to>
      <xdr:col>3</xdr:col>
      <xdr:colOff>818443</xdr:colOff>
      <xdr:row>40</xdr:row>
      <xdr:rowOff>1433491</xdr:rowOff>
    </xdr:to>
    <xdr:sp macro="" textlink="">
      <xdr:nvSpPr>
        <xdr:cNvPr id="202" name="Овал 20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2855" y="5712196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972326</xdr:colOff>
      <xdr:row>40</xdr:row>
      <xdr:rowOff>739596</xdr:rowOff>
    </xdr:from>
    <xdr:to>
      <xdr:col>3</xdr:col>
      <xdr:colOff>1044326</xdr:colOff>
      <xdr:row>40</xdr:row>
      <xdr:rowOff>811596</xdr:rowOff>
    </xdr:to>
    <xdr:sp macro="" textlink="">
      <xdr:nvSpPr>
        <xdr:cNvPr id="213" name="5-конечная звезда 212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8738" y="5650006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537882</xdr:colOff>
      <xdr:row>40</xdr:row>
      <xdr:rowOff>746923</xdr:rowOff>
    </xdr:from>
    <xdr:to>
      <xdr:col>3</xdr:col>
      <xdr:colOff>609882</xdr:colOff>
      <xdr:row>40</xdr:row>
      <xdr:rowOff>818923</xdr:rowOff>
    </xdr:to>
    <xdr:sp macro="" textlink="">
      <xdr:nvSpPr>
        <xdr:cNvPr id="215" name="5-конечная звезда 214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4294" y="5650739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787436</xdr:colOff>
      <xdr:row>38</xdr:row>
      <xdr:rowOff>60339</xdr:rowOff>
    </xdr:from>
    <xdr:to>
      <xdr:col>3</xdr:col>
      <xdr:colOff>787436</xdr:colOff>
      <xdr:row>38</xdr:row>
      <xdr:rowOff>1349879</xdr:rowOff>
    </xdr:to>
    <xdr:cxnSp macro="">
      <xdr:nvCxnSpPr>
        <xdr:cNvPr id="241" name="Прямая со стрелкой 24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6090" y="52755570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783981</xdr:colOff>
      <xdr:row>38</xdr:row>
      <xdr:rowOff>827944</xdr:rowOff>
    </xdr:from>
    <xdr:to>
      <xdr:col>3</xdr:col>
      <xdr:colOff>1077058</xdr:colOff>
      <xdr:row>38</xdr:row>
      <xdr:rowOff>950557</xdr:rowOff>
    </xdr:to>
    <xdr:cxnSp macro="">
      <xdr:nvCxnSpPr>
        <xdr:cNvPr id="246" name="Прямая со стрелкой 245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flipH="1" flipV="1">
          <a:off x="2322635" y="53523175"/>
          <a:ext cx="293077" cy="122613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933877</xdr:colOff>
      <xdr:row>38</xdr:row>
      <xdr:rowOff>707354</xdr:rowOff>
    </xdr:from>
    <xdr:to>
      <xdr:col>3</xdr:col>
      <xdr:colOff>985256</xdr:colOff>
      <xdr:row>38</xdr:row>
      <xdr:rowOff>1087833</xdr:rowOff>
    </xdr:to>
    <xdr:grpSp>
      <xdr:nvGrpSpPr>
        <xdr:cNvPr id="247" name="Группа 246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pSpPr/>
      </xdr:nvGrpSpPr>
      <xdr:grpSpPr>
        <a:xfrm rot="5400000">
          <a:off x="2315739" y="53584375"/>
          <a:ext cx="380479" cy="51379"/>
          <a:chOff x="744834" y="5046016"/>
          <a:chExt cx="380479" cy="51379"/>
        </a:xfrm>
      </xdr:grpSpPr>
      <xdr:cxnSp macro="">
        <xdr:nvCxnSpPr>
          <xdr:cNvPr id="248" name="Прямая со стрелкой 247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49" name="Овал 248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250" name="Овал 249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51" name="Прямая со стрелкой 250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112060</xdr:colOff>
      <xdr:row>39</xdr:row>
      <xdr:rowOff>706170</xdr:rowOff>
    </xdr:from>
    <xdr:to>
      <xdr:col>3</xdr:col>
      <xdr:colOff>773206</xdr:colOff>
      <xdr:row>39</xdr:row>
      <xdr:rowOff>706170</xdr:rowOff>
    </xdr:to>
    <xdr:cxnSp macro="">
      <xdr:nvCxnSpPr>
        <xdr:cNvPr id="252" name="Прямая со стрелкой 25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1658472" y="54942641"/>
          <a:ext cx="661146" cy="0"/>
        </a:xfrm>
        <a:prstGeom prst="straightConnector1">
          <a:avLst/>
        </a:prstGeom>
        <a:ln w="19050">
          <a:prstDash val="sysDot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731954</xdr:colOff>
      <xdr:row>39</xdr:row>
      <xdr:rowOff>1344395</xdr:rowOff>
    </xdr:from>
    <xdr:to>
      <xdr:col>3</xdr:col>
      <xdr:colOff>803954</xdr:colOff>
      <xdr:row>39</xdr:row>
      <xdr:rowOff>1416395</xdr:rowOff>
    </xdr:to>
    <xdr:sp macro="" textlink="">
      <xdr:nvSpPr>
        <xdr:cNvPr id="253" name="Овал 25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8366" y="5558086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769596</xdr:colOff>
      <xdr:row>39</xdr:row>
      <xdr:rowOff>705971</xdr:rowOff>
    </xdr:from>
    <xdr:to>
      <xdr:col>3</xdr:col>
      <xdr:colOff>769596</xdr:colOff>
      <xdr:row>39</xdr:row>
      <xdr:rowOff>1409992</xdr:rowOff>
    </xdr:to>
    <xdr:cxnSp macro="">
      <xdr:nvCxnSpPr>
        <xdr:cNvPr id="254" name="Прямая соединительная линия 253"/>
        <xdr:cNvCxnSpPr/>
      </xdr:nvCxnSpPr>
      <xdr:spPr>
        <a:xfrm rot="16200000" flipH="1">
          <a:off x="1963997" y="55294453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728384</xdr:colOff>
      <xdr:row>39</xdr:row>
      <xdr:rowOff>706170</xdr:rowOff>
    </xdr:from>
    <xdr:to>
      <xdr:col>3</xdr:col>
      <xdr:colOff>1389530</xdr:colOff>
      <xdr:row>39</xdr:row>
      <xdr:rowOff>706170</xdr:rowOff>
    </xdr:to>
    <xdr:cxnSp macro="">
      <xdr:nvCxnSpPr>
        <xdr:cNvPr id="255" name="Прямая со стрелкой 25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74796" y="54942641"/>
          <a:ext cx="661146" cy="0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572696</xdr:colOff>
      <xdr:row>39</xdr:row>
      <xdr:rowOff>368798</xdr:rowOff>
    </xdr:from>
    <xdr:to>
      <xdr:col>3</xdr:col>
      <xdr:colOff>621057</xdr:colOff>
      <xdr:row>39</xdr:row>
      <xdr:rowOff>666078</xdr:rowOff>
    </xdr:to>
    <xdr:grpSp>
      <xdr:nvGrpSpPr>
        <xdr:cNvPr id="256" name="Группа 255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GrpSpPr/>
      </xdr:nvGrpSpPr>
      <xdr:grpSpPr>
        <a:xfrm rot="5400000" flipH="1">
          <a:off x="1994649" y="54729728"/>
          <a:ext cx="297280" cy="48361"/>
          <a:chOff x="797664" y="5410936"/>
          <a:chExt cx="297280" cy="48361"/>
        </a:xfrm>
      </xdr:grpSpPr>
      <xdr:sp macro="" textlink="">
        <xdr:nvSpPr>
          <xdr:cNvPr id="257" name="Овал 256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SpPr/>
        </xdr:nvSpPr>
        <xdr:spPr>
          <a:xfrm>
            <a:off x="1048144" y="5410936"/>
            <a:ext cx="46800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58" name="Прямая со стрелкой 257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CxnSpPr/>
        </xdr:nvCxnSpPr>
        <xdr:spPr>
          <a:xfrm flipH="1">
            <a:off x="797664" y="5438739"/>
            <a:ext cx="246210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408215</xdr:colOff>
      <xdr:row>39</xdr:row>
      <xdr:rowOff>122464</xdr:rowOff>
    </xdr:from>
    <xdr:to>
      <xdr:col>9</xdr:col>
      <xdr:colOff>217716</xdr:colOff>
      <xdr:row>47</xdr:row>
      <xdr:rowOff>32191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7932964"/>
          <a:ext cx="5320394" cy="1433727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15</xdr:row>
      <xdr:rowOff>17319</xdr:rowOff>
    </xdr:from>
    <xdr:to>
      <xdr:col>9</xdr:col>
      <xdr:colOff>438441</xdr:colOff>
      <xdr:row>31</xdr:row>
      <xdr:rowOff>90742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5" y="3186546"/>
          <a:ext cx="5755123" cy="31214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13</xdr:row>
      <xdr:rowOff>24023</xdr:rowOff>
    </xdr:from>
    <xdr:to>
      <xdr:col>1</xdr:col>
      <xdr:colOff>238648</xdr:colOff>
      <xdr:row>13</xdr:row>
      <xdr:rowOff>358889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16483" y="3719723"/>
          <a:ext cx="431765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46177</xdr:colOff>
      <xdr:row>8</xdr:row>
      <xdr:rowOff>190959</xdr:rowOff>
    </xdr:from>
    <xdr:to>
      <xdr:col>1</xdr:col>
      <xdr:colOff>554357</xdr:colOff>
      <xdr:row>8</xdr:row>
      <xdr:rowOff>190959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>
          <a:off x="655777" y="1981659"/>
          <a:ext cx="508180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36652</xdr:colOff>
      <xdr:row>9</xdr:row>
      <xdr:rowOff>171909</xdr:rowOff>
    </xdr:from>
    <xdr:to>
      <xdr:col>1</xdr:col>
      <xdr:colOff>552676</xdr:colOff>
      <xdr:row>9</xdr:row>
      <xdr:rowOff>171909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CxnSpPr/>
      </xdr:nvCxnSpPr>
      <xdr:spPr>
        <a:xfrm>
          <a:off x="646252" y="2343609"/>
          <a:ext cx="516024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242785</xdr:colOff>
      <xdr:row>6</xdr:row>
      <xdr:rowOff>180975</xdr:rowOff>
    </xdr:from>
    <xdr:to>
      <xdr:col>1</xdr:col>
      <xdr:colOff>314785</xdr:colOff>
      <xdr:row>6</xdr:row>
      <xdr:rowOff>252975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852385" y="120967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291652</xdr:colOff>
      <xdr:row>7</xdr:row>
      <xdr:rowOff>66675</xdr:rowOff>
    </xdr:from>
    <xdr:to>
      <xdr:col>1</xdr:col>
      <xdr:colOff>291652</xdr:colOff>
      <xdr:row>7</xdr:row>
      <xdr:rowOff>333375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 flipV="1">
          <a:off x="901252" y="1476375"/>
          <a:ext cx="0" cy="26670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83253</xdr:colOff>
      <xdr:row>14</xdr:row>
      <xdr:rowOff>104808</xdr:rowOff>
    </xdr:from>
    <xdr:to>
      <xdr:col>1</xdr:col>
      <xdr:colOff>473164</xdr:colOff>
      <xdr:row>14</xdr:row>
      <xdr:rowOff>274860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pSpPr/>
      </xdr:nvGrpSpPr>
      <xdr:grpSpPr>
        <a:xfrm>
          <a:off x="692853" y="4181508"/>
          <a:ext cx="389911" cy="170052"/>
          <a:chOff x="3482046" y="27087347"/>
          <a:chExt cx="386893" cy="170052"/>
        </a:xfrm>
      </xdr:grpSpPr>
      <xdr:cxnSp macro="">
        <xdr:nvCxnSpPr>
          <xdr:cNvPr id="8" name="Прямая соединительная линия 7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38608" y="27145344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Прямая соединительная линия 8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482046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Прямая соединительная линия 9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08141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Прямая соединительная линия 10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CxnSpPr/>
        </xdr:nvCxnSpPr>
        <xdr:spPr>
          <a:xfrm flipV="1">
            <a:off x="3538608" y="27199402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CxnSpPr/>
        </xdr:nvCxnSpPr>
        <xdr:spPr>
          <a:xfrm flipV="1">
            <a:off x="3482046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CxnSpPr/>
        </xdr:nvCxnSpPr>
        <xdr:spPr>
          <a:xfrm flipH="1" flipV="1">
            <a:off x="3808141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482983</xdr:colOff>
      <xdr:row>15</xdr:row>
      <xdr:rowOff>56432</xdr:rowOff>
    </xdr:from>
    <xdr:to>
      <xdr:col>2</xdr:col>
      <xdr:colOff>126021</xdr:colOff>
      <xdr:row>15</xdr:row>
      <xdr:rowOff>245224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pSpPr/>
      </xdr:nvGrpSpPr>
      <xdr:grpSpPr>
        <a:xfrm rot="5400000">
          <a:off x="819706" y="4177409"/>
          <a:ext cx="188792" cy="862238"/>
          <a:chOff x="2276355" y="169337185"/>
          <a:chExt cx="182327" cy="1037451"/>
        </a:xfrm>
      </xdr:grpSpPr>
      <xdr:cxnSp macro="">
        <xdr:nvCxnSpPr>
          <xdr:cNvPr id="15" name="Прямая со стрелкой 14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Прямая со стрелкой 15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" name="Прямая со стрелкой 30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Прямая со стрелкой 31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543943</xdr:colOff>
      <xdr:row>24</xdr:row>
      <xdr:rowOff>67580</xdr:rowOff>
    </xdr:from>
    <xdr:to>
      <xdr:col>1</xdr:col>
      <xdr:colOff>183898</xdr:colOff>
      <xdr:row>24</xdr:row>
      <xdr:rowOff>321647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543943" y="7468505"/>
          <a:ext cx="249555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429643</xdr:colOff>
      <xdr:row>30</xdr:row>
      <xdr:rowOff>72092</xdr:rowOff>
    </xdr:from>
    <xdr:to>
      <xdr:col>1</xdr:col>
      <xdr:colOff>69598</xdr:colOff>
      <xdr:row>30</xdr:row>
      <xdr:rowOff>321647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429643" y="9759017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216283</xdr:colOff>
      <xdr:row>30</xdr:row>
      <xdr:rowOff>72092</xdr:rowOff>
    </xdr:from>
    <xdr:to>
      <xdr:col>1</xdr:col>
      <xdr:colOff>468856</xdr:colOff>
      <xdr:row>30</xdr:row>
      <xdr:rowOff>321647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825883" y="9759017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25</xdr:row>
      <xdr:rowOff>58183</xdr:rowOff>
    </xdr:from>
    <xdr:to>
      <xdr:col>2</xdr:col>
      <xdr:colOff>144782</xdr:colOff>
      <xdr:row>25</xdr:row>
      <xdr:rowOff>333077</xdr:rowOff>
    </xdr:to>
    <xdr:sp macro="" textlink="">
      <xdr:nvSpPr>
        <xdr:cNvPr id="36" name="Полилиния 35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524893" y="78401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26</xdr:row>
      <xdr:rowOff>75169</xdr:rowOff>
    </xdr:from>
    <xdr:to>
      <xdr:col>1</xdr:col>
      <xdr:colOff>380406</xdr:colOff>
      <xdr:row>26</xdr:row>
      <xdr:rowOff>262152</xdr:rowOff>
    </xdr:to>
    <xdr:cxnSp macro="">
      <xdr:nvCxnSpPr>
        <xdr:cNvPr id="37" name="Прямая соединительная линия 36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/>
      </xdr:nvCxnSpPr>
      <xdr:spPr>
        <a:xfrm>
          <a:off x="915271" y="8238094"/>
          <a:ext cx="74735" cy="18698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27</xdr:row>
      <xdr:rowOff>173057</xdr:rowOff>
    </xdr:from>
    <xdr:to>
      <xdr:col>1</xdr:col>
      <xdr:colOff>155323</xdr:colOff>
      <xdr:row>27</xdr:row>
      <xdr:rowOff>237827</xdr:rowOff>
    </xdr:to>
    <xdr:cxnSp macro="">
      <xdr:nvCxnSpPr>
        <xdr:cNvPr id="38" name="Прямая соединительная линия 37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/>
      </xdr:nvCxnSpPr>
      <xdr:spPr>
        <a:xfrm>
          <a:off x="734443" y="8716982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27</xdr:row>
      <xdr:rowOff>173057</xdr:rowOff>
    </xdr:from>
    <xdr:to>
      <xdr:col>1</xdr:col>
      <xdr:colOff>520291</xdr:colOff>
      <xdr:row>27</xdr:row>
      <xdr:rowOff>226397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 flipV="1">
          <a:off x="761113" y="8716982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29</xdr:row>
      <xdr:rowOff>58183</xdr:rowOff>
    </xdr:from>
    <xdr:to>
      <xdr:col>2</xdr:col>
      <xdr:colOff>144782</xdr:colOff>
      <xdr:row>29</xdr:row>
      <xdr:rowOff>333077</xdr:rowOff>
    </xdr:to>
    <xdr:sp macro="" textlink="">
      <xdr:nvSpPr>
        <xdr:cNvPr id="40" name="Полилиния 39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>
          <a:off x="524893" y="93641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29</xdr:row>
      <xdr:rowOff>123698</xdr:rowOff>
    </xdr:from>
    <xdr:to>
      <xdr:col>1</xdr:col>
      <xdr:colOff>414454</xdr:colOff>
      <xdr:row>29</xdr:row>
      <xdr:rowOff>152889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CxnSpPr/>
      </xdr:nvCxnSpPr>
      <xdr:spPr>
        <a:xfrm>
          <a:off x="1011763" y="9429623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29</xdr:row>
      <xdr:rowOff>53600</xdr:rowOff>
    </xdr:from>
    <xdr:to>
      <xdr:col>1</xdr:col>
      <xdr:colOff>563578</xdr:colOff>
      <xdr:row>29</xdr:row>
      <xdr:rowOff>86169</xdr:rowOff>
    </xdr:to>
    <xdr:cxnSp macro="">
      <xdr:nvCxnSpPr>
        <xdr:cNvPr id="42" name="Прямая соединительная линия 41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CxnSpPr/>
      </xdr:nvCxnSpPr>
      <xdr:spPr>
        <a:xfrm flipV="1">
          <a:off x="1172563" y="9359525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28</xdr:row>
      <xdr:rowOff>58183</xdr:rowOff>
    </xdr:from>
    <xdr:to>
      <xdr:col>2</xdr:col>
      <xdr:colOff>144782</xdr:colOff>
      <xdr:row>28</xdr:row>
      <xdr:rowOff>333077</xdr:rowOff>
    </xdr:to>
    <xdr:sp macro="" textlink="">
      <xdr:nvSpPr>
        <xdr:cNvPr id="43" name="Полилиния 42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>
          <a:off x="524893" y="89831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28</xdr:row>
      <xdr:rowOff>132001</xdr:rowOff>
    </xdr:from>
    <xdr:to>
      <xdr:col>2</xdr:col>
      <xdr:colOff>75571</xdr:colOff>
      <xdr:row>28</xdr:row>
      <xdr:rowOff>204001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222771" y="90569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342900</xdr:colOff>
      <xdr:row>16</xdr:row>
      <xdr:rowOff>37363</xdr:rowOff>
    </xdr:from>
    <xdr:to>
      <xdr:col>1</xdr:col>
      <xdr:colOff>17116</xdr:colOff>
      <xdr:row>16</xdr:row>
      <xdr:rowOff>317454</xdr:rowOff>
    </xdr:to>
    <xdr:sp macro="" textlink="">
      <xdr:nvSpPr>
        <xdr:cNvPr id="45" name="Овал 44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42900" y="4876063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16</xdr:row>
      <xdr:rowOff>43228</xdr:rowOff>
    </xdr:from>
    <xdr:to>
      <xdr:col>2</xdr:col>
      <xdr:colOff>439911</xdr:colOff>
      <xdr:row>16</xdr:row>
      <xdr:rowOff>298777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>
          <a:off x="749774" y="4881928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</a:rPr>
            <a:t>ДЕРЕВНЯ</a:t>
          </a:r>
        </a:p>
      </xdr:txBody>
    </xdr:sp>
    <xdr:clientData/>
  </xdr:twoCellAnchor>
  <xdr:twoCellAnchor>
    <xdr:from>
      <xdr:col>1</xdr:col>
      <xdr:colOff>129367</xdr:colOff>
      <xdr:row>29</xdr:row>
      <xdr:rowOff>205680</xdr:rowOff>
    </xdr:from>
    <xdr:to>
      <xdr:col>1</xdr:col>
      <xdr:colOff>170121</xdr:colOff>
      <xdr:row>29</xdr:row>
      <xdr:rowOff>305854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CxnSpPr/>
      </xdr:nvCxnSpPr>
      <xdr:spPr>
        <a:xfrm flipH="1" flipV="1">
          <a:off x="738967" y="9511605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592457</xdr:colOff>
      <xdr:row>30</xdr:row>
      <xdr:rowOff>73997</xdr:rowOff>
    </xdr:from>
    <xdr:to>
      <xdr:col>2</xdr:col>
      <xdr:colOff>232412</xdr:colOff>
      <xdr:row>30</xdr:row>
      <xdr:rowOff>323552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1202057" y="9760922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432661</xdr:colOff>
      <xdr:row>24</xdr:row>
      <xdr:rowOff>69485</xdr:rowOff>
    </xdr:from>
    <xdr:to>
      <xdr:col>2</xdr:col>
      <xdr:colOff>74297</xdr:colOff>
      <xdr:row>24</xdr:row>
      <xdr:rowOff>323552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/>
      </xdr:nvSpPr>
      <xdr:spPr>
        <a:xfrm>
          <a:off x="1042261" y="7470410"/>
          <a:ext cx="251236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13</xdr:row>
      <xdr:rowOff>24023</xdr:rowOff>
    </xdr:from>
    <xdr:to>
      <xdr:col>2</xdr:col>
      <xdr:colOff>205247</xdr:colOff>
      <xdr:row>13</xdr:row>
      <xdr:rowOff>358889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/>
      </xdr:nvSpPr>
      <xdr:spPr>
        <a:xfrm>
          <a:off x="990999" y="3719723"/>
          <a:ext cx="43344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26</xdr:row>
      <xdr:rowOff>60381</xdr:rowOff>
    </xdr:from>
    <xdr:to>
      <xdr:col>2</xdr:col>
      <xdr:colOff>122801</xdr:colOff>
      <xdr:row>26</xdr:row>
      <xdr:rowOff>335275</xdr:rowOff>
    </xdr:to>
    <xdr:sp macro="" textlink="">
      <xdr:nvSpPr>
        <xdr:cNvPr id="51" name="Полилиния 50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/>
      </xdr:nvSpPr>
      <xdr:spPr>
        <a:xfrm>
          <a:off x="502912" y="8223306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0</xdr:col>
      <xdr:colOff>342900</xdr:colOff>
      <xdr:row>17</xdr:row>
      <xdr:rowOff>28844</xdr:rowOff>
    </xdr:from>
    <xdr:to>
      <xdr:col>1</xdr:col>
      <xdr:colOff>17116</xdr:colOff>
      <xdr:row>17</xdr:row>
      <xdr:rowOff>372222</xdr:rowOff>
    </xdr:to>
    <xdr:grpSp>
      <xdr:nvGrpSpPr>
        <xdr:cNvPr id="52" name="Группа 51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GrpSpPr/>
      </xdr:nvGrpSpPr>
      <xdr:grpSpPr>
        <a:xfrm>
          <a:off x="342900" y="5248544"/>
          <a:ext cx="283816" cy="343378"/>
          <a:chOff x="342900" y="4529810"/>
          <a:chExt cx="284462" cy="343378"/>
        </a:xfrm>
      </xdr:grpSpPr>
      <xdr:sp macro="" textlink="">
        <xdr:nvSpPr>
          <xdr:cNvPr id="53" name="Овал 52">
            <a:extLst>
              <a:ext uri="{FF2B5EF4-FFF2-40B4-BE49-F238E27FC236}">
                <a16:creationId xmlns:a16="http://schemas.microsoft.com/office/drawing/2014/main" id="{00000000-0008-0000-0600-000037000000}"/>
              </a:ext>
            </a:extLst>
          </xdr:cNvPr>
          <xdr:cNvSpPr/>
        </xdr:nvSpPr>
        <xdr:spPr>
          <a:xfrm>
            <a:off x="342900" y="4529810"/>
            <a:ext cx="284462" cy="281384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4" name="Прямая со стрелкой 53">
            <a:extLst>
              <a:ext uri="{FF2B5EF4-FFF2-40B4-BE49-F238E27FC236}">
                <a16:creationId xmlns:a16="http://schemas.microsoft.com/office/drawing/2014/main" id="{00000000-0008-0000-0600-000038000000}"/>
              </a:ext>
            </a:extLst>
          </xdr:cNvPr>
          <xdr:cNvCxnSpPr/>
        </xdr:nvCxnSpPr>
        <xdr:spPr>
          <a:xfrm flipV="1">
            <a:off x="485879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140174</xdr:colOff>
      <xdr:row>17</xdr:row>
      <xdr:rowOff>49749</xdr:rowOff>
    </xdr:from>
    <xdr:to>
      <xdr:col>2</xdr:col>
      <xdr:colOff>439911</xdr:colOff>
      <xdr:row>17</xdr:row>
      <xdr:rowOff>372222</xdr:rowOff>
    </xdr:to>
    <xdr:grpSp>
      <xdr:nvGrpSpPr>
        <xdr:cNvPr id="55" name="Группа 54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GrpSpPr/>
      </xdr:nvGrpSpPr>
      <xdr:grpSpPr>
        <a:xfrm>
          <a:off x="749774" y="5269449"/>
          <a:ext cx="909337" cy="322473"/>
          <a:chOff x="750420" y="4550715"/>
          <a:chExt cx="909983" cy="322473"/>
        </a:xfrm>
      </xdr:grpSpPr>
      <xdr:sp macro="" textlink="">
        <xdr:nvSpPr>
          <xdr:cNvPr id="56" name="Прямоугольник 55">
            <a:extLst>
              <a:ext uri="{FF2B5EF4-FFF2-40B4-BE49-F238E27FC236}">
                <a16:creationId xmlns:a16="http://schemas.microsoft.com/office/drawing/2014/main" id="{00000000-0008-0000-0600-00003A000000}"/>
              </a:ext>
            </a:extLst>
          </xdr:cNvPr>
          <xdr:cNvSpPr/>
        </xdr:nvSpPr>
        <xdr:spPr>
          <a:xfrm>
            <a:off x="750420" y="4550715"/>
            <a:ext cx="909983" cy="256842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endParaRPr lang="ru-RU" sz="11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57" name="Прямая со стрелкой 56">
            <a:extLst>
              <a:ext uri="{FF2B5EF4-FFF2-40B4-BE49-F238E27FC236}">
                <a16:creationId xmlns:a16="http://schemas.microsoft.com/office/drawing/2014/main" id="{00000000-0008-0000-0600-00003B000000}"/>
              </a:ext>
            </a:extLst>
          </xdr:cNvPr>
          <xdr:cNvCxnSpPr/>
        </xdr:nvCxnSpPr>
        <xdr:spPr>
          <a:xfrm flipV="1">
            <a:off x="875632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8" name="Прямая со стрелкой 57">
            <a:extLst>
              <a:ext uri="{FF2B5EF4-FFF2-40B4-BE49-F238E27FC236}">
                <a16:creationId xmlns:a16="http://schemas.microsoft.com/office/drawing/2014/main" id="{00000000-0008-0000-0600-00003C000000}"/>
              </a:ext>
            </a:extLst>
          </xdr:cNvPr>
          <xdr:cNvCxnSpPr/>
        </xdr:nvCxnSpPr>
        <xdr:spPr>
          <a:xfrm flipV="1">
            <a:off x="1514694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134588</xdr:colOff>
      <xdr:row>18</xdr:row>
      <xdr:rowOff>164050</xdr:rowOff>
    </xdr:from>
    <xdr:to>
      <xdr:col>1</xdr:col>
      <xdr:colOff>515067</xdr:colOff>
      <xdr:row>18</xdr:row>
      <xdr:rowOff>215429</xdr:rowOff>
    </xdr:to>
    <xdr:grpSp>
      <xdr:nvGrpSpPr>
        <xdr:cNvPr id="59" name="Группа 58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pSpPr/>
      </xdr:nvGrpSpPr>
      <xdr:grpSpPr>
        <a:xfrm>
          <a:off x="744188" y="5764750"/>
          <a:ext cx="380479" cy="51379"/>
          <a:chOff x="744834" y="5046016"/>
          <a:chExt cx="380479" cy="51379"/>
        </a:xfrm>
      </xdr:grpSpPr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1" name="Овал 60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62" name="Овал 61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3" name="Прямая со стрелкой 62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187418</xdr:colOff>
      <xdr:row>19</xdr:row>
      <xdr:rowOff>147970</xdr:rowOff>
    </xdr:from>
    <xdr:to>
      <xdr:col>1</xdr:col>
      <xdr:colOff>484698</xdr:colOff>
      <xdr:row>19</xdr:row>
      <xdr:rowOff>196331</xdr:rowOff>
    </xdr:to>
    <xdr:grpSp>
      <xdr:nvGrpSpPr>
        <xdr:cNvPr id="64" name="Группа 63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GrpSpPr/>
      </xdr:nvGrpSpPr>
      <xdr:grpSpPr>
        <a:xfrm flipH="1">
          <a:off x="797018" y="6129670"/>
          <a:ext cx="297280" cy="48361"/>
          <a:chOff x="797664" y="5410936"/>
          <a:chExt cx="297280" cy="48361"/>
        </a:xfrm>
      </xdr:grpSpPr>
      <xdr:sp macro="" textlink="">
        <xdr:nvSpPr>
          <xdr:cNvPr id="65" name="Овал 64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SpPr/>
        </xdr:nvSpPr>
        <xdr:spPr>
          <a:xfrm>
            <a:off x="1048144" y="5410936"/>
            <a:ext cx="46800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6" name="Прямая со стрелкой 65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CxnSpPr/>
        </xdr:nvCxnSpPr>
        <xdr:spPr>
          <a:xfrm flipH="1">
            <a:off x="797664" y="5438739"/>
            <a:ext cx="246210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273395</xdr:colOff>
      <xdr:row>21</xdr:row>
      <xdr:rowOff>42612</xdr:rowOff>
    </xdr:from>
    <xdr:to>
      <xdr:col>1</xdr:col>
      <xdr:colOff>375949</xdr:colOff>
      <xdr:row>21</xdr:row>
      <xdr:rowOff>340269</xdr:rowOff>
    </xdr:to>
    <xdr:grpSp>
      <xdr:nvGrpSpPr>
        <xdr:cNvPr id="67" name="Группа 66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882995" y="6786312"/>
          <a:ext cx="102554" cy="297657"/>
          <a:chOff x="635632" y="15053070"/>
          <a:chExt cx="102554" cy="297657"/>
        </a:xfrm>
      </xdr:grpSpPr>
      <xdr:sp macro="" textlink="">
        <xdr:nvSpPr>
          <xdr:cNvPr id="68" name="Прямоугольник 67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69" name="Овал 68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0" name="Овал 69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1" name="Овал 70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20878</xdr:colOff>
      <xdr:row>28</xdr:row>
      <xdr:rowOff>250243</xdr:rowOff>
    </xdr:from>
    <xdr:to>
      <xdr:col>1</xdr:col>
      <xdr:colOff>92878</xdr:colOff>
      <xdr:row>28</xdr:row>
      <xdr:rowOff>322243</xdr:rowOff>
    </xdr:to>
    <xdr:sp macro="" textlink="">
      <xdr:nvSpPr>
        <xdr:cNvPr id="72" name="Овал 71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/>
      </xdr:nvSpPr>
      <xdr:spPr>
        <a:xfrm>
          <a:off x="630478" y="91751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20</xdr:row>
      <xdr:rowOff>39408</xdr:rowOff>
    </xdr:from>
    <xdr:to>
      <xdr:col>2</xdr:col>
      <xdr:colOff>120601</xdr:colOff>
      <xdr:row>20</xdr:row>
      <xdr:rowOff>311004</xdr:rowOff>
    </xdr:to>
    <xdr:grpSp>
      <xdr:nvGrpSpPr>
        <xdr:cNvPr id="73" name="Группа 72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GrpSpPr/>
      </xdr:nvGrpSpPr>
      <xdr:grpSpPr>
        <a:xfrm>
          <a:off x="1145265" y="6402108"/>
          <a:ext cx="194536" cy="271596"/>
          <a:chOff x="831586" y="6064374"/>
          <a:chExt cx="194536" cy="271596"/>
        </a:xfrm>
      </xdr:grpSpPr>
      <xdr:sp macro="" textlink="">
        <xdr:nvSpPr>
          <xdr:cNvPr id="74" name="Овал 73">
            <a:extLst>
              <a:ext uri="{FF2B5EF4-FFF2-40B4-BE49-F238E27FC236}">
                <a16:creationId xmlns:a16="http://schemas.microsoft.com/office/drawing/2014/main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5" name="Прямая со стрелкой 74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6" name="Прямая со стрелкой 75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252358</xdr:colOff>
      <xdr:row>20</xdr:row>
      <xdr:rowOff>70017</xdr:rowOff>
    </xdr:from>
    <xdr:to>
      <xdr:col>1</xdr:col>
      <xdr:colOff>54678</xdr:colOff>
      <xdr:row>20</xdr:row>
      <xdr:rowOff>276996</xdr:rowOff>
    </xdr:to>
    <xdr:grpSp>
      <xdr:nvGrpSpPr>
        <xdr:cNvPr id="77" name="Группа 76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GrpSpPr/>
      </xdr:nvGrpSpPr>
      <xdr:grpSpPr>
        <a:xfrm>
          <a:off x="252358" y="6432717"/>
          <a:ext cx="411920" cy="206979"/>
          <a:chOff x="719729" y="5704458"/>
          <a:chExt cx="411920" cy="206979"/>
        </a:xfrm>
      </xdr:grpSpPr>
      <xdr:sp macro="" textlink="">
        <xdr:nvSpPr>
          <xdr:cNvPr id="78" name="Прямоугольник 77">
            <a:extLst>
              <a:ext uri="{FF2B5EF4-FFF2-40B4-BE49-F238E27FC236}">
                <a16:creationId xmlns:a16="http://schemas.microsoft.com/office/drawing/2014/main" id="{00000000-0008-0000-0600-000050000000}"/>
              </a:ext>
            </a:extLst>
          </xdr:cNvPr>
          <xdr:cNvSpPr/>
        </xdr:nvSpPr>
        <xdr:spPr>
          <a:xfrm>
            <a:off x="719729" y="5706922"/>
            <a:ext cx="411920" cy="204515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endParaRPr lang="ru-RU" sz="11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79" name="Прямая со стрелкой 78">
            <a:extLst>
              <a:ext uri="{FF2B5EF4-FFF2-40B4-BE49-F238E27FC236}">
                <a16:creationId xmlns:a16="http://schemas.microsoft.com/office/drawing/2014/main" id="{00000000-0008-0000-0600-000051000000}"/>
              </a:ext>
            </a:extLst>
          </xdr:cNvPr>
          <xdr:cNvCxnSpPr/>
        </xdr:nvCxnSpPr>
        <xdr:spPr>
          <a:xfrm flipH="1" flipV="1">
            <a:off x="726052" y="5704458"/>
            <a:ext cx="401038" cy="203727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0" name="Прямая со стрелкой 79">
            <a:extLst>
              <a:ext uri="{FF2B5EF4-FFF2-40B4-BE49-F238E27FC236}">
                <a16:creationId xmlns:a16="http://schemas.microsoft.com/office/drawing/2014/main" id="{00000000-0008-0000-0600-000052000000}"/>
              </a:ext>
            </a:extLst>
          </xdr:cNvPr>
          <xdr:cNvCxnSpPr/>
        </xdr:nvCxnSpPr>
        <xdr:spPr>
          <a:xfrm flipH="1">
            <a:off x="729142" y="5704973"/>
            <a:ext cx="401038" cy="203727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266700</xdr:colOff>
      <xdr:row>10</xdr:row>
      <xdr:rowOff>155652</xdr:rowOff>
    </xdr:from>
    <xdr:to>
      <xdr:col>1</xdr:col>
      <xdr:colOff>338700</xdr:colOff>
      <xdr:row>10</xdr:row>
      <xdr:rowOff>227652</xdr:rowOff>
    </xdr:to>
    <xdr:sp macro="" textlink="">
      <xdr:nvSpPr>
        <xdr:cNvPr id="81" name="5-конечная звезда 80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/>
      </xdr:nvSpPr>
      <xdr:spPr>
        <a:xfrm>
          <a:off x="876300" y="270835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149679</xdr:colOff>
      <xdr:row>0</xdr:row>
      <xdr:rowOff>4802</xdr:rowOff>
    </xdr:from>
    <xdr:to>
      <xdr:col>2</xdr:col>
      <xdr:colOff>402878</xdr:colOff>
      <xdr:row>3</xdr:row>
      <xdr:rowOff>13132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802"/>
          <a:ext cx="1215224" cy="665555"/>
        </a:xfrm>
        <a:prstGeom prst="rect">
          <a:avLst/>
        </a:prstGeom>
      </xdr:spPr>
    </xdr:pic>
    <xdr:clientData/>
  </xdr:twoCellAnchor>
  <xdr:twoCellAnchor>
    <xdr:from>
      <xdr:col>3</xdr:col>
      <xdr:colOff>504825</xdr:colOff>
      <xdr:row>4</xdr:row>
      <xdr:rowOff>1211036</xdr:rowOff>
    </xdr:from>
    <xdr:to>
      <xdr:col>4</xdr:col>
      <xdr:colOff>828675</xdr:colOff>
      <xdr:row>4</xdr:row>
      <xdr:rowOff>2313214</xdr:rowOff>
    </xdr:to>
    <xdr:sp macro="" textlink="">
      <xdr:nvSpPr>
        <xdr:cNvPr id="3" name="TextBox 2"/>
        <xdr:cNvSpPr txBox="1"/>
      </xdr:nvSpPr>
      <xdr:spPr>
        <a:xfrm>
          <a:off x="2047875" y="2087336"/>
          <a:ext cx="1905000" cy="110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КВ-0 Старт</a:t>
          </a:r>
        </a:p>
        <a:p>
          <a:pPr algn="ctr"/>
          <a:r>
            <a:rPr lang="ru-RU" sz="1600" b="1"/>
            <a:t>ДС-1</a:t>
          </a:r>
          <a:r>
            <a:rPr lang="ru-RU" sz="1600" b="1" baseline="0"/>
            <a:t> РД Старт</a:t>
          </a:r>
        </a:p>
        <a:p>
          <a:pPr algn="ctr"/>
          <a:r>
            <a:rPr lang="en-US" sz="1600" b="1"/>
            <a:t>V</a:t>
          </a:r>
          <a:r>
            <a:rPr lang="ru-RU" sz="1600" b="1"/>
            <a:t>ср</a:t>
          </a:r>
          <a:r>
            <a:rPr lang="en-US" sz="1600" b="1"/>
            <a:t>=30 </a:t>
          </a:r>
          <a:r>
            <a:rPr lang="ru-RU" sz="1600" b="1"/>
            <a:t>км/ч</a:t>
          </a:r>
        </a:p>
      </xdr:txBody>
    </xdr:sp>
    <xdr:clientData/>
  </xdr:twoCellAnchor>
  <xdr:twoCellAnchor>
    <xdr:from>
      <xdr:col>4</xdr:col>
      <xdr:colOff>574957</xdr:colOff>
      <xdr:row>33</xdr:row>
      <xdr:rowOff>505691</xdr:rowOff>
    </xdr:from>
    <xdr:to>
      <xdr:col>5</xdr:col>
      <xdr:colOff>689336</xdr:colOff>
      <xdr:row>33</xdr:row>
      <xdr:rowOff>896216</xdr:rowOff>
    </xdr:to>
    <xdr:sp macro="" textlink="">
      <xdr:nvSpPr>
        <xdr:cNvPr id="4" name="Прямоугольник 3"/>
        <xdr:cNvSpPr/>
      </xdr:nvSpPr>
      <xdr:spPr>
        <a:xfrm>
          <a:off x="3699157" y="47101991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798853</xdr:colOff>
      <xdr:row>9</xdr:row>
      <xdr:rowOff>49586</xdr:rowOff>
    </xdr:from>
    <xdr:to>
      <xdr:col>3</xdr:col>
      <xdr:colOff>798853</xdr:colOff>
      <xdr:row>9</xdr:row>
      <xdr:rowOff>1375518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41903" y="10069886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9</xdr:row>
      <xdr:rowOff>1345755</xdr:rowOff>
    </xdr:from>
    <xdr:to>
      <xdr:col>3</xdr:col>
      <xdr:colOff>828620</xdr:colOff>
      <xdr:row>9</xdr:row>
      <xdr:rowOff>1417755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9670" y="11366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797299</xdr:colOff>
      <xdr:row>9</xdr:row>
      <xdr:rowOff>73479</xdr:rowOff>
    </xdr:from>
    <xdr:to>
      <xdr:col>3</xdr:col>
      <xdr:colOff>1102099</xdr:colOff>
      <xdr:row>9</xdr:row>
      <xdr:rowOff>883104</xdr:rowOff>
    </xdr:to>
    <xdr:sp macro="" textlink="">
      <xdr:nvSpPr>
        <xdr:cNvPr id="7" name="Полилиния 6"/>
        <xdr:cNvSpPr/>
      </xdr:nvSpPr>
      <xdr:spPr>
        <a:xfrm>
          <a:off x="2340349" y="10093779"/>
          <a:ext cx="304800" cy="809625"/>
        </a:xfrm>
        <a:custGeom>
          <a:avLst/>
          <a:gdLst>
            <a:gd name="connsiteX0" fmla="*/ 0 w 304800"/>
            <a:gd name="connsiteY0" fmla="*/ 809625 h 809625"/>
            <a:gd name="connsiteX1" fmla="*/ 123825 w 304800"/>
            <a:gd name="connsiteY1" fmla="*/ 409575 h 809625"/>
            <a:gd name="connsiteX2" fmla="*/ 304800 w 304800"/>
            <a:gd name="connsiteY2" fmla="*/ 0 h 809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4800" h="809625">
              <a:moveTo>
                <a:pt x="0" y="809625"/>
              </a:moveTo>
              <a:cubicBezTo>
                <a:pt x="36512" y="677068"/>
                <a:pt x="73025" y="544512"/>
                <a:pt x="123825" y="409575"/>
              </a:cubicBezTo>
              <a:cubicBezTo>
                <a:pt x="174625" y="274637"/>
                <a:pt x="239712" y="137318"/>
                <a:pt x="30480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807657</xdr:colOff>
      <xdr:row>11</xdr:row>
      <xdr:rowOff>62187</xdr:rowOff>
    </xdr:from>
    <xdr:to>
      <xdr:col>3</xdr:col>
      <xdr:colOff>807657</xdr:colOff>
      <xdr:row>11</xdr:row>
      <xdr:rowOff>1388119</xdr:rowOff>
    </xdr:to>
    <xdr:cxnSp macro="">
      <xdr:nvCxnSpPr>
        <xdr:cNvPr id="8" name="Прямая со стрелкой 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50707" y="13130487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765424</xdr:colOff>
      <xdr:row>11</xdr:row>
      <xdr:rowOff>1358356</xdr:rowOff>
    </xdr:from>
    <xdr:to>
      <xdr:col>3</xdr:col>
      <xdr:colOff>837424</xdr:colOff>
      <xdr:row>11</xdr:row>
      <xdr:rowOff>1430356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8474" y="1442665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811048</xdr:colOff>
      <xdr:row>11</xdr:row>
      <xdr:rowOff>105104</xdr:rowOff>
    </xdr:from>
    <xdr:to>
      <xdr:col>3</xdr:col>
      <xdr:colOff>1034858</xdr:colOff>
      <xdr:row>11</xdr:row>
      <xdr:rowOff>974058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V="1">
          <a:off x="2354098" y="13173404"/>
          <a:ext cx="223810" cy="868954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596648</xdr:colOff>
      <xdr:row>11</xdr:row>
      <xdr:rowOff>157656</xdr:rowOff>
    </xdr:from>
    <xdr:to>
      <xdr:col>3</xdr:col>
      <xdr:colOff>808610</xdr:colOff>
      <xdr:row>11</xdr:row>
      <xdr:rowOff>980593</xdr:rowOff>
    </xdr:to>
    <xdr:cxnSp macro="">
      <xdr:nvCxnSpPr>
        <xdr:cNvPr id="11" name="Прямая со стрелкой 10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H="1" flipV="1">
          <a:off x="2139698" y="13225956"/>
          <a:ext cx="211962" cy="82293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800593</xdr:colOff>
      <xdr:row>21</xdr:row>
      <xdr:rowOff>111563</xdr:rowOff>
    </xdr:from>
    <xdr:to>
      <xdr:col>3</xdr:col>
      <xdr:colOff>800593</xdr:colOff>
      <xdr:row>21</xdr:row>
      <xdr:rowOff>1403490</xdr:rowOff>
    </xdr:to>
    <xdr:cxnSp macro="">
      <xdr:nvCxnSpPr>
        <xdr:cNvPr id="12" name="Прямая со стрелкой 1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643" y="28419863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759600</xdr:colOff>
      <xdr:row>21</xdr:row>
      <xdr:rowOff>1385794</xdr:rowOff>
    </xdr:from>
    <xdr:to>
      <xdr:col>3</xdr:col>
      <xdr:colOff>831600</xdr:colOff>
      <xdr:row>21</xdr:row>
      <xdr:rowOff>1457794</xdr:rowOff>
    </xdr:to>
    <xdr:sp macro="" textlink="">
      <xdr:nvSpPr>
        <xdr:cNvPr id="13" name="Овал 1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650" y="2969409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112061</xdr:colOff>
      <xdr:row>21</xdr:row>
      <xdr:rowOff>188812</xdr:rowOff>
    </xdr:from>
    <xdr:to>
      <xdr:col>3</xdr:col>
      <xdr:colOff>1094528</xdr:colOff>
      <xdr:row>21</xdr:row>
      <xdr:rowOff>1075764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 flipV="1">
          <a:off x="1655111" y="28497112"/>
          <a:ext cx="982467" cy="88695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1109382</xdr:colOff>
      <xdr:row>21</xdr:row>
      <xdr:rowOff>1094557</xdr:rowOff>
    </xdr:from>
    <xdr:to>
      <xdr:col>3</xdr:col>
      <xdr:colOff>1386469</xdr:colOff>
      <xdr:row>21</xdr:row>
      <xdr:rowOff>1344705</xdr:rowOff>
    </xdr:to>
    <xdr:cxnSp macro="">
      <xdr:nvCxnSpPr>
        <xdr:cNvPr id="15" name="Прямая со стрелкой 1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652432" y="29402857"/>
          <a:ext cx="277087" cy="250148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800592</xdr:colOff>
      <xdr:row>22</xdr:row>
      <xdr:rowOff>1005052</xdr:rowOff>
    </xdr:from>
    <xdr:to>
      <xdr:col>3</xdr:col>
      <xdr:colOff>800592</xdr:colOff>
      <xdr:row>22</xdr:row>
      <xdr:rowOff>1347107</xdr:rowOff>
    </xdr:to>
    <xdr:cxnSp macro="">
      <xdr:nvCxnSpPr>
        <xdr:cNvPr id="16" name="Прямая со стрелкой 1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642" y="30837352"/>
          <a:ext cx="0" cy="342055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762321</xdr:colOff>
      <xdr:row>22</xdr:row>
      <xdr:rowOff>1310908</xdr:rowOff>
    </xdr:from>
    <xdr:to>
      <xdr:col>3</xdr:col>
      <xdr:colOff>834321</xdr:colOff>
      <xdr:row>22</xdr:row>
      <xdr:rowOff>1382908</xdr:rowOff>
    </xdr:to>
    <xdr:sp macro="" textlink="">
      <xdr:nvSpPr>
        <xdr:cNvPr id="17" name="Овал 1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5371" y="3114320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58370</xdr:colOff>
      <xdr:row>22</xdr:row>
      <xdr:rowOff>554004</xdr:rowOff>
    </xdr:from>
    <xdr:to>
      <xdr:col>3</xdr:col>
      <xdr:colOff>1551215</xdr:colOff>
      <xdr:row>22</xdr:row>
      <xdr:rowOff>814654</xdr:rowOff>
    </xdr:to>
    <xdr:cxnSp macro="">
      <xdr:nvCxnSpPr>
        <xdr:cNvPr id="18" name="Прямая со стрелкой 1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1601420" y="30386304"/>
          <a:ext cx="1492845" cy="260650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791431</xdr:colOff>
      <xdr:row>23</xdr:row>
      <xdr:rowOff>37216</xdr:rowOff>
    </xdr:from>
    <xdr:to>
      <xdr:col>3</xdr:col>
      <xdr:colOff>791431</xdr:colOff>
      <xdr:row>23</xdr:row>
      <xdr:rowOff>1363148</xdr:rowOff>
    </xdr:to>
    <xdr:cxnSp macro="">
      <xdr:nvCxnSpPr>
        <xdr:cNvPr id="19" name="Прямая со стрелкой 1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34481" y="31393516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749198</xdr:colOff>
      <xdr:row>23</xdr:row>
      <xdr:rowOff>1333385</xdr:rowOff>
    </xdr:from>
    <xdr:to>
      <xdr:col>3</xdr:col>
      <xdr:colOff>821198</xdr:colOff>
      <xdr:row>23</xdr:row>
      <xdr:rowOff>1405385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2248" y="3268968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801083</xdr:colOff>
      <xdr:row>23</xdr:row>
      <xdr:rowOff>61109</xdr:rowOff>
    </xdr:from>
    <xdr:to>
      <xdr:col>3</xdr:col>
      <xdr:colOff>1105883</xdr:colOff>
      <xdr:row>23</xdr:row>
      <xdr:rowOff>870734</xdr:rowOff>
    </xdr:to>
    <xdr:sp macro="" textlink="">
      <xdr:nvSpPr>
        <xdr:cNvPr id="21" name="Полилиния 20"/>
        <xdr:cNvSpPr/>
      </xdr:nvSpPr>
      <xdr:spPr>
        <a:xfrm>
          <a:off x="2344133" y="31417409"/>
          <a:ext cx="304800" cy="809625"/>
        </a:xfrm>
        <a:custGeom>
          <a:avLst/>
          <a:gdLst>
            <a:gd name="connsiteX0" fmla="*/ 0 w 304800"/>
            <a:gd name="connsiteY0" fmla="*/ 809625 h 809625"/>
            <a:gd name="connsiteX1" fmla="*/ 123825 w 304800"/>
            <a:gd name="connsiteY1" fmla="*/ 409575 h 809625"/>
            <a:gd name="connsiteX2" fmla="*/ 304800 w 304800"/>
            <a:gd name="connsiteY2" fmla="*/ 0 h 809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4800" h="809625">
              <a:moveTo>
                <a:pt x="0" y="809625"/>
              </a:moveTo>
              <a:cubicBezTo>
                <a:pt x="36512" y="677068"/>
                <a:pt x="73025" y="544512"/>
                <a:pt x="123825" y="409575"/>
              </a:cubicBezTo>
              <a:cubicBezTo>
                <a:pt x="174625" y="274637"/>
                <a:pt x="239712" y="137318"/>
                <a:pt x="30480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791431</xdr:colOff>
      <xdr:row>24</xdr:row>
      <xdr:rowOff>106488</xdr:rowOff>
    </xdr:from>
    <xdr:to>
      <xdr:col>3</xdr:col>
      <xdr:colOff>791431</xdr:colOff>
      <xdr:row>24</xdr:row>
      <xdr:rowOff>1432420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34481" y="32986788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749198</xdr:colOff>
      <xdr:row>24</xdr:row>
      <xdr:rowOff>1402657</xdr:rowOff>
    </xdr:from>
    <xdr:to>
      <xdr:col>3</xdr:col>
      <xdr:colOff>821198</xdr:colOff>
      <xdr:row>24</xdr:row>
      <xdr:rowOff>1474657</xdr:rowOff>
    </xdr:to>
    <xdr:sp macro="" textlink="">
      <xdr:nvSpPr>
        <xdr:cNvPr id="23" name="Овал 2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2248" y="3428295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798673</xdr:colOff>
      <xdr:row>24</xdr:row>
      <xdr:rowOff>175846</xdr:rowOff>
    </xdr:from>
    <xdr:to>
      <xdr:col>3</xdr:col>
      <xdr:colOff>1451686</xdr:colOff>
      <xdr:row>24</xdr:row>
      <xdr:rowOff>982265</xdr:rowOff>
    </xdr:to>
    <xdr:sp macro="" textlink="">
      <xdr:nvSpPr>
        <xdr:cNvPr id="24" name="Полилиния 23"/>
        <xdr:cNvSpPr/>
      </xdr:nvSpPr>
      <xdr:spPr>
        <a:xfrm>
          <a:off x="2341723" y="33056146"/>
          <a:ext cx="653013" cy="806419"/>
        </a:xfrm>
        <a:custGeom>
          <a:avLst/>
          <a:gdLst>
            <a:gd name="connsiteX0" fmla="*/ 0 w 303610"/>
            <a:gd name="connsiteY0" fmla="*/ 500062 h 500062"/>
            <a:gd name="connsiteX1" fmla="*/ 119063 w 303610"/>
            <a:gd name="connsiteY1" fmla="*/ 184547 h 500062"/>
            <a:gd name="connsiteX2" fmla="*/ 303610 w 303610"/>
            <a:gd name="connsiteY2" fmla="*/ 0 h 500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3610" h="500062">
              <a:moveTo>
                <a:pt x="0" y="500062"/>
              </a:moveTo>
              <a:cubicBezTo>
                <a:pt x="34230" y="383976"/>
                <a:pt x="68461" y="267891"/>
                <a:pt x="119063" y="184547"/>
              </a:cubicBezTo>
              <a:cubicBezTo>
                <a:pt x="169665" y="101203"/>
                <a:pt x="236637" y="50601"/>
                <a:pt x="30361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798647</xdr:colOff>
      <xdr:row>58</xdr:row>
      <xdr:rowOff>97332</xdr:rowOff>
    </xdr:from>
    <xdr:to>
      <xdr:col>3</xdr:col>
      <xdr:colOff>798647</xdr:colOff>
      <xdr:row>58</xdr:row>
      <xdr:rowOff>1386872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697" y="63390957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757654</xdr:colOff>
      <xdr:row>58</xdr:row>
      <xdr:rowOff>1369176</xdr:rowOff>
    </xdr:from>
    <xdr:to>
      <xdr:col>3</xdr:col>
      <xdr:colOff>829654</xdr:colOff>
      <xdr:row>58</xdr:row>
      <xdr:rowOff>1441176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0704" y="6466280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972326</xdr:colOff>
      <xdr:row>58</xdr:row>
      <xdr:rowOff>757987</xdr:rowOff>
    </xdr:from>
    <xdr:to>
      <xdr:col>3</xdr:col>
      <xdr:colOff>1044326</xdr:colOff>
      <xdr:row>58</xdr:row>
      <xdr:rowOff>829987</xdr:rowOff>
    </xdr:to>
    <xdr:sp macro="" textlink="">
      <xdr:nvSpPr>
        <xdr:cNvPr id="27" name="5-конечная звезда 2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5376" y="6405161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537882</xdr:colOff>
      <xdr:row>58</xdr:row>
      <xdr:rowOff>765314</xdr:rowOff>
    </xdr:from>
    <xdr:to>
      <xdr:col>3</xdr:col>
      <xdr:colOff>609882</xdr:colOff>
      <xdr:row>58</xdr:row>
      <xdr:rowOff>837314</xdr:rowOff>
    </xdr:to>
    <xdr:sp macro="" textlink="">
      <xdr:nvSpPr>
        <xdr:cNvPr id="28" name="5-конечная звезда 27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0932" y="6405893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974911</xdr:colOff>
      <xdr:row>58</xdr:row>
      <xdr:rowOff>201707</xdr:rowOff>
    </xdr:from>
    <xdr:to>
      <xdr:col>5</xdr:col>
      <xdr:colOff>195646</xdr:colOff>
      <xdr:row>58</xdr:row>
      <xdr:rowOff>811360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111" y="63495332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798251</xdr:colOff>
      <xdr:row>59</xdr:row>
      <xdr:rowOff>790210</xdr:rowOff>
    </xdr:from>
    <xdr:to>
      <xdr:col>3</xdr:col>
      <xdr:colOff>798251</xdr:colOff>
      <xdr:row>59</xdr:row>
      <xdr:rowOff>1454252</xdr:rowOff>
    </xdr:to>
    <xdr:cxnSp macro="">
      <xdr:nvCxnSpPr>
        <xdr:cNvPr id="30" name="Прямая со стрелкой 2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301" y="65607835"/>
          <a:ext cx="0" cy="66404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759980</xdr:colOff>
      <xdr:row>59</xdr:row>
      <xdr:rowOff>1378639</xdr:rowOff>
    </xdr:from>
    <xdr:to>
      <xdr:col>3</xdr:col>
      <xdr:colOff>831980</xdr:colOff>
      <xdr:row>59</xdr:row>
      <xdr:rowOff>1450639</xdr:rowOff>
    </xdr:to>
    <xdr:sp macro="" textlink="">
      <xdr:nvSpPr>
        <xdr:cNvPr id="31" name="Овал 3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3030" y="6619626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56029</xdr:colOff>
      <xdr:row>59</xdr:row>
      <xdr:rowOff>661149</xdr:rowOff>
    </xdr:from>
    <xdr:to>
      <xdr:col>3</xdr:col>
      <xdr:colOff>1548874</xdr:colOff>
      <xdr:row>59</xdr:row>
      <xdr:rowOff>921799</xdr:rowOff>
    </xdr:to>
    <xdr:cxnSp macro="">
      <xdr:nvCxnSpPr>
        <xdr:cNvPr id="32" name="Прямая со стрелкой 3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1599079" y="65478774"/>
          <a:ext cx="1492845" cy="26065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790187</xdr:colOff>
      <xdr:row>60</xdr:row>
      <xdr:rowOff>112059</xdr:rowOff>
    </xdr:from>
    <xdr:to>
      <xdr:col>3</xdr:col>
      <xdr:colOff>790187</xdr:colOff>
      <xdr:row>60</xdr:row>
      <xdr:rowOff>1403986</xdr:rowOff>
    </xdr:to>
    <xdr:cxnSp macro="">
      <xdr:nvCxnSpPr>
        <xdr:cNvPr id="33" name="Прямая со стрелкой 3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3237" y="66453684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749194</xdr:colOff>
      <xdr:row>60</xdr:row>
      <xdr:rowOff>1386290</xdr:rowOff>
    </xdr:from>
    <xdr:to>
      <xdr:col>3</xdr:col>
      <xdr:colOff>821194</xdr:colOff>
      <xdr:row>60</xdr:row>
      <xdr:rowOff>1458290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2244" y="6772791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112058</xdr:colOff>
      <xdr:row>60</xdr:row>
      <xdr:rowOff>744429</xdr:rowOff>
    </xdr:from>
    <xdr:to>
      <xdr:col>3</xdr:col>
      <xdr:colOff>1501588</xdr:colOff>
      <xdr:row>60</xdr:row>
      <xdr:rowOff>818030</xdr:rowOff>
    </xdr:to>
    <xdr:cxnSp macro="">
      <xdr:nvCxnSpPr>
        <xdr:cNvPr id="35" name="Прямая со стрелкой 3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1655108" y="67086054"/>
          <a:ext cx="1389530" cy="73601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790187</xdr:colOff>
      <xdr:row>61</xdr:row>
      <xdr:rowOff>56030</xdr:rowOff>
    </xdr:from>
    <xdr:to>
      <xdr:col>3</xdr:col>
      <xdr:colOff>790187</xdr:colOff>
      <xdr:row>61</xdr:row>
      <xdr:rowOff>1347957</xdr:rowOff>
    </xdr:to>
    <xdr:cxnSp macro="">
      <xdr:nvCxnSpPr>
        <xdr:cNvPr id="36" name="Прямая со стрелкой 3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3237" y="67921655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749194</xdr:colOff>
      <xdr:row>61</xdr:row>
      <xdr:rowOff>1330261</xdr:rowOff>
    </xdr:from>
    <xdr:to>
      <xdr:col>3</xdr:col>
      <xdr:colOff>821194</xdr:colOff>
      <xdr:row>61</xdr:row>
      <xdr:rowOff>1402261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2244" y="691958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795618</xdr:colOff>
      <xdr:row>61</xdr:row>
      <xdr:rowOff>555923</xdr:rowOff>
    </xdr:from>
    <xdr:to>
      <xdr:col>3</xdr:col>
      <xdr:colOff>1166069</xdr:colOff>
      <xdr:row>61</xdr:row>
      <xdr:rowOff>1411941</xdr:rowOff>
    </xdr:to>
    <xdr:cxnSp macro="">
      <xdr:nvCxnSpPr>
        <xdr:cNvPr id="38" name="Прямая со стрелкой 3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38668" y="68421548"/>
          <a:ext cx="370451" cy="856018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781160</xdr:colOff>
      <xdr:row>62</xdr:row>
      <xdr:rowOff>112059</xdr:rowOff>
    </xdr:from>
    <xdr:to>
      <xdr:col>3</xdr:col>
      <xdr:colOff>781160</xdr:colOff>
      <xdr:row>62</xdr:row>
      <xdr:rowOff>1403987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4210" y="69501684"/>
          <a:ext cx="0" cy="129192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740167</xdr:colOff>
      <xdr:row>62</xdr:row>
      <xdr:rowOff>1386290</xdr:rowOff>
    </xdr:from>
    <xdr:to>
      <xdr:col>3</xdr:col>
      <xdr:colOff>812167</xdr:colOff>
      <xdr:row>62</xdr:row>
      <xdr:rowOff>1458290</xdr:rowOff>
    </xdr:to>
    <xdr:sp macro="" textlink="">
      <xdr:nvSpPr>
        <xdr:cNvPr id="40" name="Овал 3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3217" y="7077591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123264</xdr:colOff>
      <xdr:row>62</xdr:row>
      <xdr:rowOff>771189</xdr:rowOff>
    </xdr:from>
    <xdr:to>
      <xdr:col>3</xdr:col>
      <xdr:colOff>779203</xdr:colOff>
      <xdr:row>62</xdr:row>
      <xdr:rowOff>829235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66314" y="70160814"/>
          <a:ext cx="655939" cy="58046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776236</xdr:colOff>
      <xdr:row>63</xdr:row>
      <xdr:rowOff>92048</xdr:rowOff>
    </xdr:from>
    <xdr:to>
      <xdr:col>3</xdr:col>
      <xdr:colOff>776236</xdr:colOff>
      <xdr:row>63</xdr:row>
      <xdr:rowOff>1381588</xdr:rowOff>
    </xdr:to>
    <xdr:cxnSp macro="">
      <xdr:nvCxnSpPr>
        <xdr:cNvPr id="42" name="Прямая со стрелкой 4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9286" y="71005673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735243</xdr:colOff>
      <xdr:row>63</xdr:row>
      <xdr:rowOff>1363892</xdr:rowOff>
    </xdr:from>
    <xdr:to>
      <xdr:col>3</xdr:col>
      <xdr:colOff>807243</xdr:colOff>
      <xdr:row>63</xdr:row>
      <xdr:rowOff>1435892</xdr:rowOff>
    </xdr:to>
    <xdr:sp macro="" textlink="">
      <xdr:nvSpPr>
        <xdr:cNvPr id="43" name="Овал 4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8293" y="722775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938714</xdr:colOff>
      <xdr:row>63</xdr:row>
      <xdr:rowOff>741997</xdr:rowOff>
    </xdr:from>
    <xdr:to>
      <xdr:col>3</xdr:col>
      <xdr:colOff>1010714</xdr:colOff>
      <xdr:row>63</xdr:row>
      <xdr:rowOff>813997</xdr:rowOff>
    </xdr:to>
    <xdr:sp macro="" textlink="">
      <xdr:nvSpPr>
        <xdr:cNvPr id="44" name="5-конечная звезда 4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1764" y="7165562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526682</xdr:colOff>
      <xdr:row>63</xdr:row>
      <xdr:rowOff>749324</xdr:rowOff>
    </xdr:from>
    <xdr:to>
      <xdr:col>3</xdr:col>
      <xdr:colOff>598682</xdr:colOff>
      <xdr:row>63</xdr:row>
      <xdr:rowOff>821324</xdr:rowOff>
    </xdr:to>
    <xdr:sp macro="" textlink="">
      <xdr:nvSpPr>
        <xdr:cNvPr id="45" name="5-конечная звезда 44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69732" y="7166294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839015</xdr:colOff>
      <xdr:row>32</xdr:row>
      <xdr:rowOff>133371</xdr:rowOff>
    </xdr:from>
    <xdr:to>
      <xdr:col>3</xdr:col>
      <xdr:colOff>839015</xdr:colOff>
      <xdr:row>32</xdr:row>
      <xdr:rowOff>1425298</xdr:rowOff>
    </xdr:to>
    <xdr:cxnSp macro="">
      <xdr:nvCxnSpPr>
        <xdr:cNvPr id="48" name="Прямая со стрелкой 4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82065" y="45205671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801832</xdr:colOff>
      <xdr:row>32</xdr:row>
      <xdr:rowOff>1407602</xdr:rowOff>
    </xdr:from>
    <xdr:to>
      <xdr:col>3</xdr:col>
      <xdr:colOff>873832</xdr:colOff>
      <xdr:row>32</xdr:row>
      <xdr:rowOff>1479602</xdr:rowOff>
    </xdr:to>
    <xdr:sp macro="" textlink="">
      <xdr:nvSpPr>
        <xdr:cNvPr id="49" name="Овал 4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44882" y="4647990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567611</xdr:colOff>
      <xdr:row>32</xdr:row>
      <xdr:rowOff>151728</xdr:rowOff>
    </xdr:from>
    <xdr:to>
      <xdr:col>3</xdr:col>
      <xdr:colOff>655320</xdr:colOff>
      <xdr:row>32</xdr:row>
      <xdr:rowOff>1447128</xdr:rowOff>
    </xdr:to>
    <xdr:sp macro="" textlink="">
      <xdr:nvSpPr>
        <xdr:cNvPr id="50" name="Полилиния 49"/>
        <xdr:cNvSpPr/>
      </xdr:nvSpPr>
      <xdr:spPr>
        <a:xfrm>
          <a:off x="2110661" y="45224028"/>
          <a:ext cx="87709" cy="1295400"/>
        </a:xfrm>
        <a:custGeom>
          <a:avLst/>
          <a:gdLst>
            <a:gd name="connsiteX0" fmla="*/ 87709 w 87709"/>
            <a:gd name="connsiteY0" fmla="*/ 0 h 1295400"/>
            <a:gd name="connsiteX1" fmla="*/ 7699 w 87709"/>
            <a:gd name="connsiteY1" fmla="*/ 590550 h 1295400"/>
            <a:gd name="connsiteX2" fmla="*/ 7699 w 87709"/>
            <a:gd name="connsiteY2" fmla="*/ 1295400 h 12954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7709" h="1295400">
              <a:moveTo>
                <a:pt x="87709" y="0"/>
              </a:moveTo>
              <a:cubicBezTo>
                <a:pt x="54371" y="187325"/>
                <a:pt x="21034" y="374650"/>
                <a:pt x="7699" y="590550"/>
              </a:cubicBezTo>
              <a:cubicBezTo>
                <a:pt x="-5636" y="806450"/>
                <a:pt x="1031" y="1050925"/>
                <a:pt x="7699" y="129540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567690</xdr:colOff>
      <xdr:row>32</xdr:row>
      <xdr:rowOff>673660</xdr:rowOff>
    </xdr:from>
    <xdr:to>
      <xdr:col>3</xdr:col>
      <xdr:colOff>839032</xdr:colOff>
      <xdr:row>32</xdr:row>
      <xdr:rowOff>932779</xdr:rowOff>
    </xdr:to>
    <xdr:sp macro="" textlink="">
      <xdr:nvSpPr>
        <xdr:cNvPr id="51" name="Полилиния 50"/>
        <xdr:cNvSpPr/>
      </xdr:nvSpPr>
      <xdr:spPr>
        <a:xfrm>
          <a:off x="2110740" y="45745960"/>
          <a:ext cx="271342" cy="259119"/>
        </a:xfrm>
        <a:custGeom>
          <a:avLst/>
          <a:gdLst>
            <a:gd name="connsiteX0" fmla="*/ 255270 w 259368"/>
            <a:gd name="connsiteY0" fmla="*/ 244859 h 244859"/>
            <a:gd name="connsiteX1" fmla="*/ 243840 w 259368"/>
            <a:gd name="connsiteY1" fmla="*/ 88649 h 244859"/>
            <a:gd name="connsiteX2" fmla="*/ 129540 w 259368"/>
            <a:gd name="connsiteY2" fmla="*/ 1019 h 244859"/>
            <a:gd name="connsiteX3" fmla="*/ 30480 w 259368"/>
            <a:gd name="connsiteY3" fmla="*/ 50549 h 244859"/>
            <a:gd name="connsiteX4" fmla="*/ 0 w 259368"/>
            <a:gd name="connsiteY4" fmla="*/ 191519 h 244859"/>
            <a:gd name="connsiteX0" fmla="*/ 255270 w 259368"/>
            <a:gd name="connsiteY0" fmla="*/ 260099 h 260099"/>
            <a:gd name="connsiteX1" fmla="*/ 243840 w 259368"/>
            <a:gd name="connsiteY1" fmla="*/ 88649 h 260099"/>
            <a:gd name="connsiteX2" fmla="*/ 129540 w 259368"/>
            <a:gd name="connsiteY2" fmla="*/ 1019 h 260099"/>
            <a:gd name="connsiteX3" fmla="*/ 30480 w 259368"/>
            <a:gd name="connsiteY3" fmla="*/ 50549 h 260099"/>
            <a:gd name="connsiteX4" fmla="*/ 0 w 259368"/>
            <a:gd name="connsiteY4" fmla="*/ 191519 h 260099"/>
            <a:gd name="connsiteX0" fmla="*/ 281940 w 282723"/>
            <a:gd name="connsiteY0" fmla="*/ 260099 h 260099"/>
            <a:gd name="connsiteX1" fmla="*/ 243840 w 282723"/>
            <a:gd name="connsiteY1" fmla="*/ 88649 h 260099"/>
            <a:gd name="connsiteX2" fmla="*/ 129540 w 282723"/>
            <a:gd name="connsiteY2" fmla="*/ 1019 h 260099"/>
            <a:gd name="connsiteX3" fmla="*/ 30480 w 282723"/>
            <a:gd name="connsiteY3" fmla="*/ 50549 h 260099"/>
            <a:gd name="connsiteX4" fmla="*/ 0 w 282723"/>
            <a:gd name="connsiteY4" fmla="*/ 191519 h 260099"/>
            <a:gd name="connsiteX0" fmla="*/ 266700 w 268370"/>
            <a:gd name="connsiteY0" fmla="*/ 260099 h 260099"/>
            <a:gd name="connsiteX1" fmla="*/ 243840 w 268370"/>
            <a:gd name="connsiteY1" fmla="*/ 88649 h 260099"/>
            <a:gd name="connsiteX2" fmla="*/ 129540 w 268370"/>
            <a:gd name="connsiteY2" fmla="*/ 1019 h 260099"/>
            <a:gd name="connsiteX3" fmla="*/ 30480 w 268370"/>
            <a:gd name="connsiteY3" fmla="*/ 50549 h 260099"/>
            <a:gd name="connsiteX4" fmla="*/ 0 w 268370"/>
            <a:gd name="connsiteY4" fmla="*/ 191519 h 260099"/>
            <a:gd name="connsiteX0" fmla="*/ 266700 w 267533"/>
            <a:gd name="connsiteY0" fmla="*/ 259516 h 259516"/>
            <a:gd name="connsiteX1" fmla="*/ 232410 w 267533"/>
            <a:gd name="connsiteY1" fmla="*/ 72826 h 259516"/>
            <a:gd name="connsiteX2" fmla="*/ 129540 w 267533"/>
            <a:gd name="connsiteY2" fmla="*/ 436 h 259516"/>
            <a:gd name="connsiteX3" fmla="*/ 30480 w 267533"/>
            <a:gd name="connsiteY3" fmla="*/ 49966 h 259516"/>
            <a:gd name="connsiteX4" fmla="*/ 0 w 267533"/>
            <a:gd name="connsiteY4" fmla="*/ 190936 h 259516"/>
            <a:gd name="connsiteX0" fmla="*/ 270565 w 271398"/>
            <a:gd name="connsiteY0" fmla="*/ 259935 h 275175"/>
            <a:gd name="connsiteX1" fmla="*/ 236275 w 271398"/>
            <a:gd name="connsiteY1" fmla="*/ 73245 h 275175"/>
            <a:gd name="connsiteX2" fmla="*/ 133405 w 271398"/>
            <a:gd name="connsiteY2" fmla="*/ 855 h 275175"/>
            <a:gd name="connsiteX3" fmla="*/ 34345 w 271398"/>
            <a:gd name="connsiteY3" fmla="*/ 50385 h 275175"/>
            <a:gd name="connsiteX4" fmla="*/ 0 w 271398"/>
            <a:gd name="connsiteY4" fmla="*/ 275175 h 275175"/>
            <a:gd name="connsiteX0" fmla="*/ 274430 w 275263"/>
            <a:gd name="connsiteY0" fmla="*/ 259768 h 259768"/>
            <a:gd name="connsiteX1" fmla="*/ 240140 w 275263"/>
            <a:gd name="connsiteY1" fmla="*/ 73078 h 259768"/>
            <a:gd name="connsiteX2" fmla="*/ 137270 w 275263"/>
            <a:gd name="connsiteY2" fmla="*/ 688 h 259768"/>
            <a:gd name="connsiteX3" fmla="*/ 38210 w 275263"/>
            <a:gd name="connsiteY3" fmla="*/ 50218 h 259768"/>
            <a:gd name="connsiteX4" fmla="*/ 0 w 275263"/>
            <a:gd name="connsiteY4" fmla="*/ 252148 h 259768"/>
            <a:gd name="connsiteX0" fmla="*/ 274430 w 275263"/>
            <a:gd name="connsiteY0" fmla="*/ 259119 h 259119"/>
            <a:gd name="connsiteX1" fmla="*/ 240140 w 275263"/>
            <a:gd name="connsiteY1" fmla="*/ 72429 h 259119"/>
            <a:gd name="connsiteX2" fmla="*/ 137270 w 275263"/>
            <a:gd name="connsiteY2" fmla="*/ 39 h 259119"/>
            <a:gd name="connsiteX3" fmla="*/ 38210 w 275263"/>
            <a:gd name="connsiteY3" fmla="*/ 80049 h 259119"/>
            <a:gd name="connsiteX4" fmla="*/ 0 w 275263"/>
            <a:gd name="connsiteY4" fmla="*/ 251499 h 259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75263" h="259119">
              <a:moveTo>
                <a:pt x="274430" y="259119"/>
              </a:moveTo>
              <a:cubicBezTo>
                <a:pt x="279192" y="201334"/>
                <a:pt x="263000" y="115609"/>
                <a:pt x="240140" y="72429"/>
              </a:cubicBezTo>
              <a:cubicBezTo>
                <a:pt x="217280" y="29249"/>
                <a:pt x="170925" y="-1231"/>
                <a:pt x="137270" y="39"/>
              </a:cubicBezTo>
              <a:cubicBezTo>
                <a:pt x="103615" y="1309"/>
                <a:pt x="61088" y="38139"/>
                <a:pt x="38210" y="80049"/>
              </a:cubicBezTo>
              <a:cubicBezTo>
                <a:pt x="15332" y="121959"/>
                <a:pt x="6350" y="224829"/>
                <a:pt x="0" y="251499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768834</xdr:colOff>
      <xdr:row>33</xdr:row>
      <xdr:rowOff>105877</xdr:rowOff>
    </xdr:from>
    <xdr:to>
      <xdr:col>3</xdr:col>
      <xdr:colOff>768834</xdr:colOff>
      <xdr:row>33</xdr:row>
      <xdr:rowOff>1397805</xdr:rowOff>
    </xdr:to>
    <xdr:cxnSp macro="">
      <xdr:nvCxnSpPr>
        <xdr:cNvPr id="52" name="Прямая со стрелкой 5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1884" y="46702177"/>
          <a:ext cx="0" cy="129192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727841</xdr:colOff>
      <xdr:row>33</xdr:row>
      <xdr:rowOff>1380108</xdr:rowOff>
    </xdr:from>
    <xdr:to>
      <xdr:col>3</xdr:col>
      <xdr:colOff>799841</xdr:colOff>
      <xdr:row>33</xdr:row>
      <xdr:rowOff>1452108</xdr:rowOff>
    </xdr:to>
    <xdr:sp macro="" textlink="">
      <xdr:nvSpPr>
        <xdr:cNvPr id="53" name="Овал 5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0891" y="4797640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766875</xdr:colOff>
      <xdr:row>33</xdr:row>
      <xdr:rowOff>650444</xdr:rowOff>
    </xdr:from>
    <xdr:to>
      <xdr:col>3</xdr:col>
      <xdr:colOff>1516117</xdr:colOff>
      <xdr:row>33</xdr:row>
      <xdr:rowOff>765006</xdr:rowOff>
    </xdr:to>
    <xdr:cxnSp macro="">
      <xdr:nvCxnSpPr>
        <xdr:cNvPr id="54" name="Прямая со стрелкой 5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09925" y="47246744"/>
          <a:ext cx="749242" cy="11456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778359</xdr:colOff>
      <xdr:row>34</xdr:row>
      <xdr:rowOff>110359</xdr:rowOff>
    </xdr:from>
    <xdr:to>
      <xdr:col>3</xdr:col>
      <xdr:colOff>778359</xdr:colOff>
      <xdr:row>34</xdr:row>
      <xdr:rowOff>1402287</xdr:rowOff>
    </xdr:to>
    <xdr:cxnSp macro="">
      <xdr:nvCxnSpPr>
        <xdr:cNvPr id="55" name="Прямая со стрелкой 5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1409" y="48230659"/>
          <a:ext cx="0" cy="129192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737366</xdr:colOff>
      <xdr:row>34</xdr:row>
      <xdr:rowOff>1384590</xdr:rowOff>
    </xdr:from>
    <xdr:to>
      <xdr:col>3</xdr:col>
      <xdr:colOff>809366</xdr:colOff>
      <xdr:row>34</xdr:row>
      <xdr:rowOff>1456590</xdr:rowOff>
    </xdr:to>
    <xdr:sp macro="" textlink="">
      <xdr:nvSpPr>
        <xdr:cNvPr id="56" name="Овал 5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0416" y="4950489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142875</xdr:colOff>
      <xdr:row>34</xdr:row>
      <xdr:rowOff>752475</xdr:rowOff>
    </xdr:from>
    <xdr:to>
      <xdr:col>3</xdr:col>
      <xdr:colOff>776400</xdr:colOff>
      <xdr:row>34</xdr:row>
      <xdr:rowOff>769488</xdr:rowOff>
    </xdr:to>
    <xdr:cxnSp macro="">
      <xdr:nvCxnSpPr>
        <xdr:cNvPr id="57" name="Прямая со стрелкой 5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 flipV="1">
          <a:off x="1685925" y="48872775"/>
          <a:ext cx="633525" cy="17013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780040</xdr:colOff>
      <xdr:row>35</xdr:row>
      <xdr:rowOff>131736</xdr:rowOff>
    </xdr:from>
    <xdr:to>
      <xdr:col>3</xdr:col>
      <xdr:colOff>780040</xdr:colOff>
      <xdr:row>35</xdr:row>
      <xdr:rowOff>1423664</xdr:rowOff>
    </xdr:to>
    <xdr:cxnSp macro="">
      <xdr:nvCxnSpPr>
        <xdr:cNvPr id="58" name="Прямая со стрелкой 5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3090" y="49776036"/>
          <a:ext cx="0" cy="1291928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135764</xdr:colOff>
      <xdr:row>35</xdr:row>
      <xdr:rowOff>790865</xdr:rowOff>
    </xdr:from>
    <xdr:to>
      <xdr:col>3</xdr:col>
      <xdr:colOff>778081</xdr:colOff>
      <xdr:row>35</xdr:row>
      <xdr:rowOff>872765</xdr:rowOff>
    </xdr:to>
    <xdr:cxnSp macro="">
      <xdr:nvCxnSpPr>
        <xdr:cNvPr id="59" name="Прямая со стрелкой 5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78814" y="50435165"/>
          <a:ext cx="642317" cy="81900"/>
        </a:xfrm>
        <a:prstGeom prst="straightConnector1">
          <a:avLst/>
        </a:prstGeom>
        <a:ln w="19050">
          <a:prstDash val="sysDot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748572</xdr:colOff>
      <xdr:row>35</xdr:row>
      <xdr:rowOff>1378124</xdr:rowOff>
    </xdr:from>
    <xdr:to>
      <xdr:col>3</xdr:col>
      <xdr:colOff>820572</xdr:colOff>
      <xdr:row>35</xdr:row>
      <xdr:rowOff>1450124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1622" y="5102242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800414</xdr:colOff>
      <xdr:row>36</xdr:row>
      <xdr:rowOff>100853</xdr:rowOff>
    </xdr:from>
    <xdr:to>
      <xdr:col>3</xdr:col>
      <xdr:colOff>800414</xdr:colOff>
      <xdr:row>36</xdr:row>
      <xdr:rowOff>1390393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464" y="51269153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759421</xdr:colOff>
      <xdr:row>36</xdr:row>
      <xdr:rowOff>1372697</xdr:rowOff>
    </xdr:from>
    <xdr:to>
      <xdr:col>3</xdr:col>
      <xdr:colOff>831421</xdr:colOff>
      <xdr:row>36</xdr:row>
      <xdr:rowOff>1444697</xdr:rowOff>
    </xdr:to>
    <xdr:sp macro="" textlink="">
      <xdr:nvSpPr>
        <xdr:cNvPr id="62" name="Овал 6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5254099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974093</xdr:colOff>
      <xdr:row>36</xdr:row>
      <xdr:rowOff>739096</xdr:rowOff>
    </xdr:from>
    <xdr:to>
      <xdr:col>3</xdr:col>
      <xdr:colOff>1046093</xdr:colOff>
      <xdr:row>36</xdr:row>
      <xdr:rowOff>811096</xdr:rowOff>
    </xdr:to>
    <xdr:sp macro="" textlink="">
      <xdr:nvSpPr>
        <xdr:cNvPr id="63" name="5-конечная звезда 62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7143" y="519073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539649</xdr:colOff>
      <xdr:row>36</xdr:row>
      <xdr:rowOff>746423</xdr:rowOff>
    </xdr:from>
    <xdr:to>
      <xdr:col>3</xdr:col>
      <xdr:colOff>611649</xdr:colOff>
      <xdr:row>36</xdr:row>
      <xdr:rowOff>818423</xdr:rowOff>
    </xdr:to>
    <xdr:sp macro="" textlink="">
      <xdr:nvSpPr>
        <xdr:cNvPr id="64" name="5-конечная звезда 63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2699" y="5191472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976595</xdr:colOff>
      <xdr:row>36</xdr:row>
      <xdr:rowOff>95569</xdr:rowOff>
    </xdr:from>
    <xdr:ext cx="614775" cy="609653"/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795" y="51263869"/>
          <a:ext cx="614775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967844</xdr:colOff>
      <xdr:row>32</xdr:row>
      <xdr:rowOff>996832</xdr:rowOff>
    </xdr:from>
    <xdr:to>
      <xdr:col>3</xdr:col>
      <xdr:colOff>1039844</xdr:colOff>
      <xdr:row>32</xdr:row>
      <xdr:rowOff>1068832</xdr:rowOff>
    </xdr:to>
    <xdr:sp macro="" textlink="">
      <xdr:nvSpPr>
        <xdr:cNvPr id="66" name="5-конечная звезда 65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0894" y="4606913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798853</xdr:colOff>
      <xdr:row>10</xdr:row>
      <xdr:rowOff>49586</xdr:rowOff>
    </xdr:from>
    <xdr:to>
      <xdr:col>3</xdr:col>
      <xdr:colOff>798853</xdr:colOff>
      <xdr:row>10</xdr:row>
      <xdr:rowOff>1375518</xdr:rowOff>
    </xdr:to>
    <xdr:cxnSp macro="">
      <xdr:nvCxnSpPr>
        <xdr:cNvPr id="67" name="Прямая со стрелкой 6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1903" y="11593886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10</xdr:row>
      <xdr:rowOff>1345755</xdr:rowOff>
    </xdr:from>
    <xdr:to>
      <xdr:col>3</xdr:col>
      <xdr:colOff>828620</xdr:colOff>
      <xdr:row>10</xdr:row>
      <xdr:rowOff>1417755</xdr:rowOff>
    </xdr:to>
    <xdr:sp macro="" textlink="">
      <xdr:nvSpPr>
        <xdr:cNvPr id="68" name="Овал 67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9670" y="12890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122465</xdr:colOff>
      <xdr:row>10</xdr:row>
      <xdr:rowOff>734787</xdr:rowOff>
    </xdr:from>
    <xdr:to>
      <xdr:col>3</xdr:col>
      <xdr:colOff>457200</xdr:colOff>
      <xdr:row>10</xdr:row>
      <xdr:rowOff>734787</xdr:rowOff>
    </xdr:to>
    <xdr:cxnSp macro="">
      <xdr:nvCxnSpPr>
        <xdr:cNvPr id="69" name="Прямая соединительная линия 68"/>
        <xdr:cNvCxnSpPr/>
      </xdr:nvCxnSpPr>
      <xdr:spPr>
        <a:xfrm>
          <a:off x="1665515" y="12279087"/>
          <a:ext cx="334735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798853</xdr:colOff>
      <xdr:row>20</xdr:row>
      <xdr:rowOff>63193</xdr:rowOff>
    </xdr:from>
    <xdr:to>
      <xdr:col>3</xdr:col>
      <xdr:colOff>798853</xdr:colOff>
      <xdr:row>20</xdr:row>
      <xdr:rowOff>1389125</xdr:rowOff>
    </xdr:to>
    <xdr:cxnSp macro="">
      <xdr:nvCxnSpPr>
        <xdr:cNvPr id="70" name="Прямая со стрелкой 6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1903" y="26847493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20</xdr:row>
      <xdr:rowOff>1359362</xdr:rowOff>
    </xdr:from>
    <xdr:to>
      <xdr:col>3</xdr:col>
      <xdr:colOff>828620</xdr:colOff>
      <xdr:row>20</xdr:row>
      <xdr:rowOff>1431362</xdr:rowOff>
    </xdr:to>
    <xdr:sp macro="" textlink="">
      <xdr:nvSpPr>
        <xdr:cNvPr id="71" name="Овал 70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9670" y="2814366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1157654</xdr:colOff>
      <xdr:row>63</xdr:row>
      <xdr:rowOff>776654</xdr:rowOff>
    </xdr:from>
    <xdr:to>
      <xdr:col>3</xdr:col>
      <xdr:colOff>1157654</xdr:colOff>
      <xdr:row>63</xdr:row>
      <xdr:rowOff>776654</xdr:rowOff>
    </xdr:to>
    <xdr:cxnSp macro="">
      <xdr:nvCxnSpPr>
        <xdr:cNvPr id="72" name="Прямая соединительная линия 71"/>
        <xdr:cNvCxnSpPr/>
      </xdr:nvCxnSpPr>
      <xdr:spPr>
        <a:xfrm>
          <a:off x="2700704" y="71690279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904875</xdr:colOff>
      <xdr:row>63</xdr:row>
      <xdr:rowOff>143566</xdr:rowOff>
    </xdr:from>
    <xdr:ext cx="609653" cy="609653"/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71057191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1168860</xdr:colOff>
      <xdr:row>63</xdr:row>
      <xdr:rowOff>835270</xdr:rowOff>
    </xdr:from>
    <xdr:to>
      <xdr:col>3</xdr:col>
      <xdr:colOff>1530810</xdr:colOff>
      <xdr:row>63</xdr:row>
      <xdr:rowOff>1066251</xdr:rowOff>
    </xdr:to>
    <xdr:grpSp>
      <xdr:nvGrpSpPr>
        <xdr:cNvPr id="74" name="Группа 73"/>
        <xdr:cNvGrpSpPr/>
      </xdr:nvGrpSpPr>
      <xdr:grpSpPr>
        <a:xfrm>
          <a:off x="2715272" y="71757299"/>
          <a:ext cx="361950" cy="230981"/>
          <a:chOff x="2631156" y="1513048"/>
          <a:chExt cx="361950" cy="230981"/>
        </a:xfrm>
      </xdr:grpSpPr>
      <xdr:sp macro="" textlink="">
        <xdr:nvSpPr>
          <xdr:cNvPr id="75" name="Полилиния 74"/>
          <xdr:cNvSpPr/>
        </xdr:nvSpPr>
        <xdr:spPr>
          <a:xfrm>
            <a:off x="2631156" y="1513048"/>
            <a:ext cx="361950" cy="230981"/>
          </a:xfrm>
          <a:custGeom>
            <a:avLst/>
            <a:gdLst>
              <a:gd name="connsiteX0" fmla="*/ 0 w 361950"/>
              <a:gd name="connsiteY0" fmla="*/ 0 h 230981"/>
              <a:gd name="connsiteX1" fmla="*/ 361950 w 361950"/>
              <a:gd name="connsiteY1" fmla="*/ 0 h 230981"/>
              <a:gd name="connsiteX2" fmla="*/ 361950 w 361950"/>
              <a:gd name="connsiteY2" fmla="*/ 230981 h 230981"/>
              <a:gd name="connsiteX3" fmla="*/ 2382 w 361950"/>
              <a:gd name="connsiteY3" fmla="*/ 230981 h 230981"/>
              <a:gd name="connsiteX4" fmla="*/ 0 w 361950"/>
              <a:gd name="connsiteY4" fmla="*/ 0 h 23098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61950" h="230981">
                <a:moveTo>
                  <a:pt x="0" y="0"/>
                </a:moveTo>
                <a:lnTo>
                  <a:pt x="361950" y="0"/>
                </a:lnTo>
                <a:lnTo>
                  <a:pt x="361950" y="230981"/>
                </a:lnTo>
                <a:lnTo>
                  <a:pt x="2382" y="230981"/>
                </a:lnTo>
                <a:lnTo>
                  <a:pt x="0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</a:schemeClr>
          </a:solidFill>
          <a:ln w="19050">
            <a:solidFill>
              <a:srgbClr val="FF0000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6" name="Прямая соединительная линия 75"/>
          <xdr:cNvCxnSpPr>
            <a:stCxn id="75" idx="0"/>
            <a:endCxn id="75" idx="2"/>
          </xdr:cNvCxnSpPr>
        </xdr:nvCxnSpPr>
        <xdr:spPr>
          <a:xfrm>
            <a:off x="2631156" y="1513048"/>
            <a:ext cx="361950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Прямая соединительная линия 76"/>
          <xdr:cNvCxnSpPr>
            <a:stCxn id="75" idx="1"/>
            <a:endCxn id="75" idx="3"/>
          </xdr:cNvCxnSpPr>
        </xdr:nvCxnSpPr>
        <xdr:spPr>
          <a:xfrm flipH="1">
            <a:off x="2633538" y="1513048"/>
            <a:ext cx="359568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752088</xdr:colOff>
      <xdr:row>19</xdr:row>
      <xdr:rowOff>647700</xdr:rowOff>
    </xdr:from>
    <xdr:to>
      <xdr:col>3</xdr:col>
      <xdr:colOff>752088</xdr:colOff>
      <xdr:row>19</xdr:row>
      <xdr:rowOff>1372689</xdr:rowOff>
    </xdr:to>
    <xdr:cxnSp macro="">
      <xdr:nvCxnSpPr>
        <xdr:cNvPr id="79" name="Прямая со стрелкой 7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95138" y="25908000"/>
          <a:ext cx="0" cy="724989"/>
        </a:xfrm>
        <a:prstGeom prst="straightConnector1">
          <a:avLst/>
        </a:prstGeom>
        <a:ln w="1905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711095</xdr:colOff>
      <xdr:row>19</xdr:row>
      <xdr:rowOff>1354993</xdr:rowOff>
    </xdr:from>
    <xdr:to>
      <xdr:col>3</xdr:col>
      <xdr:colOff>783095</xdr:colOff>
      <xdr:row>19</xdr:row>
      <xdr:rowOff>1426993</xdr:rowOff>
    </xdr:to>
    <xdr:sp macro="" textlink="">
      <xdr:nvSpPr>
        <xdr:cNvPr id="80" name="Овал 7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54145" y="26615293"/>
          <a:ext cx="72000" cy="72000"/>
        </a:xfrm>
        <a:prstGeom prst="ellipse">
          <a:avLst/>
        </a:prstGeom>
        <a:solidFill>
          <a:schemeClr val="tx1"/>
        </a:solidFill>
        <a:ln w="19050">
          <a:headEnd type="triangle"/>
          <a:tailEnd type="none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495300</xdr:colOff>
      <xdr:row>19</xdr:row>
      <xdr:rowOff>47625</xdr:rowOff>
    </xdr:from>
    <xdr:to>
      <xdr:col>3</xdr:col>
      <xdr:colOff>952502</xdr:colOff>
      <xdr:row>19</xdr:row>
      <xdr:rowOff>1428750</xdr:rowOff>
    </xdr:to>
    <xdr:cxnSp macro="">
      <xdr:nvCxnSpPr>
        <xdr:cNvPr id="81" name="Прямая со стрелкой 8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2038350" y="25307925"/>
          <a:ext cx="457202" cy="1381125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436790</xdr:colOff>
      <xdr:row>10</xdr:row>
      <xdr:rowOff>734787</xdr:rowOff>
    </xdr:from>
    <xdr:to>
      <xdr:col>3</xdr:col>
      <xdr:colOff>1504950</xdr:colOff>
      <xdr:row>10</xdr:row>
      <xdr:rowOff>734787</xdr:rowOff>
    </xdr:to>
    <xdr:cxnSp macro="">
      <xdr:nvCxnSpPr>
        <xdr:cNvPr id="83" name="Прямая соединительная линия 82"/>
        <xdr:cNvCxnSpPr/>
      </xdr:nvCxnSpPr>
      <xdr:spPr>
        <a:xfrm>
          <a:off x="1979840" y="12279087"/>
          <a:ext cx="106816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1170215</xdr:colOff>
      <xdr:row>20</xdr:row>
      <xdr:rowOff>763362</xdr:rowOff>
    </xdr:from>
    <xdr:to>
      <xdr:col>3</xdr:col>
      <xdr:colOff>1504950</xdr:colOff>
      <xdr:row>20</xdr:row>
      <xdr:rowOff>763362</xdr:rowOff>
    </xdr:to>
    <xdr:cxnSp macro="">
      <xdr:nvCxnSpPr>
        <xdr:cNvPr id="84" name="Прямая соединительная линия 83"/>
        <xdr:cNvCxnSpPr/>
      </xdr:nvCxnSpPr>
      <xdr:spPr>
        <a:xfrm flipH="1">
          <a:off x="2713265" y="27547662"/>
          <a:ext cx="334735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122465</xdr:colOff>
      <xdr:row>20</xdr:row>
      <xdr:rowOff>763362</xdr:rowOff>
    </xdr:from>
    <xdr:to>
      <xdr:col>3</xdr:col>
      <xdr:colOff>1190625</xdr:colOff>
      <xdr:row>20</xdr:row>
      <xdr:rowOff>763362</xdr:rowOff>
    </xdr:to>
    <xdr:cxnSp macro="">
      <xdr:nvCxnSpPr>
        <xdr:cNvPr id="85" name="Прямая соединительная линия 84"/>
        <xdr:cNvCxnSpPr/>
      </xdr:nvCxnSpPr>
      <xdr:spPr>
        <a:xfrm flipH="1">
          <a:off x="1665515" y="27547662"/>
          <a:ext cx="106816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800592</xdr:colOff>
      <xdr:row>22</xdr:row>
      <xdr:rowOff>678922</xdr:rowOff>
    </xdr:from>
    <xdr:to>
      <xdr:col>3</xdr:col>
      <xdr:colOff>800592</xdr:colOff>
      <xdr:row>22</xdr:row>
      <xdr:rowOff>998483</xdr:rowOff>
    </xdr:to>
    <xdr:cxnSp macro="">
      <xdr:nvCxnSpPr>
        <xdr:cNvPr id="86" name="Прямая со стрелкой 8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642" y="30511222"/>
          <a:ext cx="0" cy="31956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885019</xdr:colOff>
      <xdr:row>33</xdr:row>
      <xdr:rowOff>880875</xdr:rowOff>
    </xdr:from>
    <xdr:to>
      <xdr:col>3</xdr:col>
      <xdr:colOff>957019</xdr:colOff>
      <xdr:row>33</xdr:row>
      <xdr:rowOff>952875</xdr:rowOff>
    </xdr:to>
    <xdr:sp macro="" textlink="">
      <xdr:nvSpPr>
        <xdr:cNvPr id="87" name="5-конечная звезда 8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28069" y="474771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427588</xdr:colOff>
      <xdr:row>33</xdr:row>
      <xdr:rowOff>613518</xdr:rowOff>
    </xdr:from>
    <xdr:to>
      <xdr:col>5</xdr:col>
      <xdr:colOff>585431</xdr:colOff>
      <xdr:row>33</xdr:row>
      <xdr:rowOff>800250</xdr:rowOff>
    </xdr:to>
    <xdr:sp macro="" textlink="">
      <xdr:nvSpPr>
        <xdr:cNvPr id="88" name="Стрелка вправо 87"/>
        <xdr:cNvSpPr/>
      </xdr:nvSpPr>
      <xdr:spPr>
        <a:xfrm>
          <a:off x="4932913" y="47209818"/>
          <a:ext cx="157843" cy="186732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727443</xdr:colOff>
      <xdr:row>33</xdr:row>
      <xdr:rowOff>584766</xdr:rowOff>
    </xdr:from>
    <xdr:to>
      <xdr:col>5</xdr:col>
      <xdr:colOff>129635</xdr:colOff>
      <xdr:row>33</xdr:row>
      <xdr:rowOff>821819</xdr:rowOff>
    </xdr:to>
    <xdr:sp macro="" textlink="">
      <xdr:nvSpPr>
        <xdr:cNvPr id="89" name="Прямоугольник 88"/>
        <xdr:cNvSpPr/>
      </xdr:nvSpPr>
      <xdr:spPr>
        <a:xfrm>
          <a:off x="3851643" y="47181066"/>
          <a:ext cx="783317" cy="237053"/>
        </a:xfrm>
        <a:prstGeom prst="rect">
          <a:avLst/>
        </a:prstGeom>
        <a:solidFill>
          <a:srgbClr val="0070C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chemeClr val="bg1"/>
              </a:solidFill>
            </a:rPr>
            <a:t>???</a:t>
          </a:r>
        </a:p>
      </xdr:txBody>
    </xdr:sp>
    <xdr:clientData/>
  </xdr:twoCellAnchor>
  <xdr:twoCellAnchor>
    <xdr:from>
      <xdr:col>4</xdr:col>
      <xdr:colOff>1247514</xdr:colOff>
      <xdr:row>33</xdr:row>
      <xdr:rowOff>588053</xdr:rowOff>
    </xdr:from>
    <xdr:to>
      <xdr:col>5</xdr:col>
      <xdr:colOff>655148</xdr:colOff>
      <xdr:row>33</xdr:row>
      <xdr:rowOff>825106</xdr:rowOff>
    </xdr:to>
    <xdr:sp macro="" textlink="">
      <xdr:nvSpPr>
        <xdr:cNvPr id="90" name="Прямоугольник 89"/>
        <xdr:cNvSpPr/>
      </xdr:nvSpPr>
      <xdr:spPr>
        <a:xfrm>
          <a:off x="4371714" y="47184353"/>
          <a:ext cx="788759" cy="237053"/>
        </a:xfrm>
        <a:prstGeom prst="rect">
          <a:avLst/>
        </a:prstGeom>
        <a:noFill/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8</a:t>
          </a:r>
        </a:p>
      </xdr:txBody>
    </xdr:sp>
    <xdr:clientData/>
  </xdr:twoCellAnchor>
  <xdr:twoCellAnchor>
    <xdr:from>
      <xdr:col>3</xdr:col>
      <xdr:colOff>954834</xdr:colOff>
      <xdr:row>34</xdr:row>
      <xdr:rowOff>850281</xdr:rowOff>
    </xdr:from>
    <xdr:to>
      <xdr:col>3</xdr:col>
      <xdr:colOff>1026834</xdr:colOff>
      <xdr:row>34</xdr:row>
      <xdr:rowOff>922281</xdr:rowOff>
    </xdr:to>
    <xdr:sp macro="" textlink="">
      <xdr:nvSpPr>
        <xdr:cNvPr id="91" name="5-конечная звезда 9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97884" y="4897058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520390</xdr:colOff>
      <xdr:row>34</xdr:row>
      <xdr:rowOff>857608</xdr:rowOff>
    </xdr:from>
    <xdr:to>
      <xdr:col>3</xdr:col>
      <xdr:colOff>592390</xdr:colOff>
      <xdr:row>34</xdr:row>
      <xdr:rowOff>929608</xdr:rowOff>
    </xdr:to>
    <xdr:sp macro="" textlink="">
      <xdr:nvSpPr>
        <xdr:cNvPr id="92" name="5-конечная звезда 91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63440" y="4897790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486537</xdr:colOff>
      <xdr:row>34</xdr:row>
      <xdr:rowOff>394138</xdr:rowOff>
    </xdr:from>
    <xdr:to>
      <xdr:col>4</xdr:col>
      <xdr:colOff>883688</xdr:colOff>
      <xdr:row>34</xdr:row>
      <xdr:rowOff>791318</xdr:rowOff>
    </xdr:to>
    <xdr:pic>
      <xdr:nvPicPr>
        <xdr:cNvPr id="93" name="Рисунок 92" descr="Картинки по запросу знак жд переезд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0737" y="48514438"/>
          <a:ext cx="397151" cy="3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464540</xdr:colOff>
      <xdr:row>34</xdr:row>
      <xdr:rowOff>771084</xdr:rowOff>
    </xdr:from>
    <xdr:to>
      <xdr:col>4</xdr:col>
      <xdr:colOff>875791</xdr:colOff>
      <xdr:row>34</xdr:row>
      <xdr:rowOff>1137409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 flipV="1">
          <a:off x="3588740" y="48891384"/>
          <a:ext cx="411251" cy="366325"/>
        </a:xfrm>
        <a:prstGeom prst="rect">
          <a:avLst/>
        </a:prstGeom>
      </xdr:spPr>
    </xdr:pic>
    <xdr:clientData/>
  </xdr:twoCellAnchor>
  <xdr:twoCellAnchor editAs="oneCell">
    <xdr:from>
      <xdr:col>5</xdr:col>
      <xdr:colOff>224795</xdr:colOff>
      <xdr:row>34</xdr:row>
      <xdr:rowOff>394138</xdr:rowOff>
    </xdr:from>
    <xdr:to>
      <xdr:col>5</xdr:col>
      <xdr:colOff>621946</xdr:colOff>
      <xdr:row>34</xdr:row>
      <xdr:rowOff>791318</xdr:rowOff>
    </xdr:to>
    <xdr:pic>
      <xdr:nvPicPr>
        <xdr:cNvPr id="95" name="Рисунок 94" descr="Картинки по запросу знак жд переезд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120" y="48514438"/>
          <a:ext cx="397151" cy="3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221848</xdr:colOff>
      <xdr:row>34</xdr:row>
      <xdr:rowOff>771084</xdr:rowOff>
    </xdr:from>
    <xdr:to>
      <xdr:col>5</xdr:col>
      <xdr:colOff>633099</xdr:colOff>
      <xdr:row>34</xdr:row>
      <xdr:rowOff>1137409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V="1">
          <a:off x="4727173" y="48891384"/>
          <a:ext cx="411251" cy="366325"/>
        </a:xfrm>
        <a:prstGeom prst="rect">
          <a:avLst/>
        </a:prstGeom>
      </xdr:spPr>
    </xdr:pic>
    <xdr:clientData/>
  </xdr:twoCellAnchor>
  <xdr:twoCellAnchor editAs="oneCell">
    <xdr:from>
      <xdr:col>4</xdr:col>
      <xdr:colOff>928119</xdr:colOff>
      <xdr:row>59</xdr:row>
      <xdr:rowOff>466724</xdr:rowOff>
    </xdr:from>
    <xdr:to>
      <xdr:col>5</xdr:col>
      <xdr:colOff>247650</xdr:colOff>
      <xdr:row>59</xdr:row>
      <xdr:rowOff>1085849</xdr:rowOff>
    </xdr:to>
    <xdr:pic>
      <xdr:nvPicPr>
        <xdr:cNvPr id="97" name="Рисунок 96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319" y="65284349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934226</xdr:colOff>
      <xdr:row>59</xdr:row>
      <xdr:rowOff>938962</xdr:rowOff>
    </xdr:from>
    <xdr:to>
      <xdr:col>3</xdr:col>
      <xdr:colOff>1006226</xdr:colOff>
      <xdr:row>59</xdr:row>
      <xdr:rowOff>1010962</xdr:rowOff>
    </xdr:to>
    <xdr:sp macro="" textlink="">
      <xdr:nvSpPr>
        <xdr:cNvPr id="98" name="5-конечная звезда 97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77276" y="657565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838976</xdr:colOff>
      <xdr:row>61</xdr:row>
      <xdr:rowOff>910387</xdr:rowOff>
    </xdr:from>
    <xdr:to>
      <xdr:col>3</xdr:col>
      <xdr:colOff>910976</xdr:colOff>
      <xdr:row>61</xdr:row>
      <xdr:rowOff>982387</xdr:rowOff>
    </xdr:to>
    <xdr:sp macro="" textlink="">
      <xdr:nvSpPr>
        <xdr:cNvPr id="99" name="5-конечная звезда 98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382026" y="6877601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847725</xdr:colOff>
      <xdr:row>61</xdr:row>
      <xdr:rowOff>477982</xdr:rowOff>
    </xdr:from>
    <xdr:to>
      <xdr:col>5</xdr:col>
      <xdr:colOff>133350</xdr:colOff>
      <xdr:row>61</xdr:row>
      <xdr:rowOff>1144732</xdr:rowOff>
    </xdr:to>
    <xdr:pic>
      <xdr:nvPicPr>
        <xdr:cNvPr id="100" name="Рисунок 99" descr="Картинки по запросу знак главная дорог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68343607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776654</xdr:colOff>
      <xdr:row>63</xdr:row>
      <xdr:rowOff>674076</xdr:rowOff>
    </xdr:from>
    <xdr:to>
      <xdr:col>3</xdr:col>
      <xdr:colOff>1077058</xdr:colOff>
      <xdr:row>63</xdr:row>
      <xdr:rowOff>674076</xdr:rowOff>
    </xdr:to>
    <xdr:cxnSp macro="">
      <xdr:nvCxnSpPr>
        <xdr:cNvPr id="101" name="Прямая соединительная линия 100"/>
        <xdr:cNvCxnSpPr/>
      </xdr:nvCxnSpPr>
      <xdr:spPr>
        <a:xfrm>
          <a:off x="2319704" y="71587701"/>
          <a:ext cx="300404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664331</xdr:colOff>
      <xdr:row>8</xdr:row>
      <xdr:rowOff>399885</xdr:rowOff>
    </xdr:from>
    <xdr:to>
      <xdr:col>3</xdr:col>
      <xdr:colOff>1132044</xdr:colOff>
      <xdr:row>8</xdr:row>
      <xdr:rowOff>867598</xdr:rowOff>
    </xdr:to>
    <xdr:sp macro="" textlink="">
      <xdr:nvSpPr>
        <xdr:cNvPr id="102" name="Овал 101"/>
        <xdr:cNvSpPr/>
      </xdr:nvSpPr>
      <xdr:spPr>
        <a:xfrm rot="14674973">
          <a:off x="2207381" y="8896185"/>
          <a:ext cx="467713" cy="467713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73638</xdr:colOff>
      <xdr:row>8</xdr:row>
      <xdr:rowOff>103355</xdr:rowOff>
    </xdr:from>
    <xdr:to>
      <xdr:col>3</xdr:col>
      <xdr:colOff>1443689</xdr:colOff>
      <xdr:row>8</xdr:row>
      <xdr:rowOff>754405</xdr:rowOff>
    </xdr:to>
    <xdr:cxnSp macro="">
      <xdr:nvCxnSpPr>
        <xdr:cNvPr id="103" name="Прямая со стрелкой 102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H="1">
          <a:off x="1616688" y="8599655"/>
          <a:ext cx="1370051" cy="65105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1117250</xdr:colOff>
      <xdr:row>8</xdr:row>
      <xdr:rowOff>1241333</xdr:rowOff>
    </xdr:from>
    <xdr:to>
      <xdr:col>3</xdr:col>
      <xdr:colOff>1189250</xdr:colOff>
      <xdr:row>8</xdr:row>
      <xdr:rowOff>1316646</xdr:rowOff>
    </xdr:to>
    <xdr:sp macro="" textlink="">
      <xdr:nvSpPr>
        <xdr:cNvPr id="104" name="Овал 103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 rot="14674973">
          <a:off x="2658643" y="973929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418869</xdr:colOff>
      <xdr:row>8</xdr:row>
      <xdr:rowOff>508292</xdr:rowOff>
    </xdr:from>
    <xdr:to>
      <xdr:col>3</xdr:col>
      <xdr:colOff>975205</xdr:colOff>
      <xdr:row>8</xdr:row>
      <xdr:rowOff>1432165</xdr:rowOff>
    </xdr:to>
    <xdr:sp macro="" textlink="">
      <xdr:nvSpPr>
        <xdr:cNvPr id="105" name="Полилиния 104"/>
        <xdr:cNvSpPr/>
      </xdr:nvSpPr>
      <xdr:spPr>
        <a:xfrm rot="14674973">
          <a:off x="1778150" y="9188361"/>
          <a:ext cx="923873" cy="556336"/>
        </a:xfrm>
        <a:custGeom>
          <a:avLst/>
          <a:gdLst>
            <a:gd name="connsiteX0" fmla="*/ 0 w 684609"/>
            <a:gd name="connsiteY0" fmla="*/ 619125 h 619125"/>
            <a:gd name="connsiteX1" fmla="*/ 333375 w 684609"/>
            <a:gd name="connsiteY1" fmla="*/ 410766 h 619125"/>
            <a:gd name="connsiteX2" fmla="*/ 684609 w 684609"/>
            <a:gd name="connsiteY2" fmla="*/ 0 h 619125"/>
            <a:gd name="connsiteX0" fmla="*/ 0 w 731192"/>
            <a:gd name="connsiteY0" fmla="*/ 640626 h 640626"/>
            <a:gd name="connsiteX1" fmla="*/ 379958 w 731192"/>
            <a:gd name="connsiteY1" fmla="*/ 410766 h 640626"/>
            <a:gd name="connsiteX2" fmla="*/ 731192 w 731192"/>
            <a:gd name="connsiteY2" fmla="*/ 0 h 640626"/>
            <a:gd name="connsiteX0" fmla="*/ 0 w 766203"/>
            <a:gd name="connsiteY0" fmla="*/ 653080 h 653080"/>
            <a:gd name="connsiteX1" fmla="*/ 414969 w 766203"/>
            <a:gd name="connsiteY1" fmla="*/ 410766 h 653080"/>
            <a:gd name="connsiteX2" fmla="*/ 766203 w 766203"/>
            <a:gd name="connsiteY2" fmla="*/ 0 h 653080"/>
            <a:gd name="connsiteX0" fmla="*/ 0 w 766203"/>
            <a:gd name="connsiteY0" fmla="*/ 653080 h 653080"/>
            <a:gd name="connsiteX1" fmla="*/ 534515 w 766203"/>
            <a:gd name="connsiteY1" fmla="*/ 511212 h 653080"/>
            <a:gd name="connsiteX2" fmla="*/ 766203 w 766203"/>
            <a:gd name="connsiteY2" fmla="*/ 0 h 653080"/>
            <a:gd name="connsiteX0" fmla="*/ 0 w 897615"/>
            <a:gd name="connsiteY0" fmla="*/ 546995 h 546995"/>
            <a:gd name="connsiteX1" fmla="*/ 534515 w 897615"/>
            <a:gd name="connsiteY1" fmla="*/ 405127 h 546995"/>
            <a:gd name="connsiteX2" fmla="*/ 897615 w 897615"/>
            <a:gd name="connsiteY2" fmla="*/ 0 h 546995"/>
            <a:gd name="connsiteX0" fmla="*/ 0 w 897615"/>
            <a:gd name="connsiteY0" fmla="*/ 546995 h 546995"/>
            <a:gd name="connsiteX1" fmla="*/ 534515 w 897615"/>
            <a:gd name="connsiteY1" fmla="*/ 405127 h 546995"/>
            <a:gd name="connsiteX2" fmla="*/ 897615 w 897615"/>
            <a:gd name="connsiteY2" fmla="*/ 0 h 546995"/>
            <a:gd name="connsiteX0" fmla="*/ 0 w 897615"/>
            <a:gd name="connsiteY0" fmla="*/ 546995 h 546995"/>
            <a:gd name="connsiteX1" fmla="*/ 534515 w 897615"/>
            <a:gd name="connsiteY1" fmla="*/ 405127 h 546995"/>
            <a:gd name="connsiteX2" fmla="*/ 857734 w 897615"/>
            <a:gd name="connsiteY2" fmla="*/ 150644 h 546995"/>
            <a:gd name="connsiteX3" fmla="*/ 897615 w 897615"/>
            <a:gd name="connsiteY3" fmla="*/ 0 h 546995"/>
            <a:gd name="connsiteX0" fmla="*/ 0 w 923873"/>
            <a:gd name="connsiteY0" fmla="*/ 556336 h 556336"/>
            <a:gd name="connsiteX1" fmla="*/ 534515 w 923873"/>
            <a:gd name="connsiteY1" fmla="*/ 414468 h 556336"/>
            <a:gd name="connsiteX2" fmla="*/ 857734 w 923873"/>
            <a:gd name="connsiteY2" fmla="*/ 159985 h 556336"/>
            <a:gd name="connsiteX3" fmla="*/ 923873 w 923873"/>
            <a:gd name="connsiteY3" fmla="*/ 0 h 556336"/>
            <a:gd name="connsiteX0" fmla="*/ 0 w 923873"/>
            <a:gd name="connsiteY0" fmla="*/ 556336 h 556336"/>
            <a:gd name="connsiteX1" fmla="*/ 560478 w 923873"/>
            <a:gd name="connsiteY1" fmla="*/ 390441 h 556336"/>
            <a:gd name="connsiteX2" fmla="*/ 857734 w 923873"/>
            <a:gd name="connsiteY2" fmla="*/ 159985 h 556336"/>
            <a:gd name="connsiteX3" fmla="*/ 923873 w 923873"/>
            <a:gd name="connsiteY3" fmla="*/ 0 h 5563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23873" h="556336">
              <a:moveTo>
                <a:pt x="0" y="556336"/>
              </a:moveTo>
              <a:cubicBezTo>
                <a:pt x="109636" y="503750"/>
                <a:pt x="446376" y="493629"/>
                <a:pt x="560478" y="390441"/>
              </a:cubicBezTo>
              <a:cubicBezTo>
                <a:pt x="695249" y="331403"/>
                <a:pt x="797217" y="227506"/>
                <a:pt x="857734" y="159985"/>
              </a:cubicBezTo>
              <a:cubicBezTo>
                <a:pt x="918251" y="92464"/>
                <a:pt x="909042" y="32127"/>
                <a:pt x="923873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929847</xdr:colOff>
      <xdr:row>8</xdr:row>
      <xdr:rowOff>240512</xdr:rowOff>
    </xdr:from>
    <xdr:to>
      <xdr:col>4</xdr:col>
      <xdr:colOff>66068</xdr:colOff>
      <xdr:row>8</xdr:row>
      <xdr:rowOff>1162101</xdr:rowOff>
    </xdr:to>
    <xdr:sp macro="" textlink="">
      <xdr:nvSpPr>
        <xdr:cNvPr id="106" name="Полилиния 105"/>
        <xdr:cNvSpPr/>
      </xdr:nvSpPr>
      <xdr:spPr>
        <a:xfrm rot="14674973">
          <a:off x="2370788" y="8838921"/>
          <a:ext cx="921589" cy="717371"/>
        </a:xfrm>
        <a:custGeom>
          <a:avLst/>
          <a:gdLst>
            <a:gd name="connsiteX0" fmla="*/ 0 w 720328"/>
            <a:gd name="connsiteY0" fmla="*/ 0 h 500063"/>
            <a:gd name="connsiteX1" fmla="*/ 375047 w 720328"/>
            <a:gd name="connsiteY1" fmla="*/ 190500 h 500063"/>
            <a:gd name="connsiteX2" fmla="*/ 720328 w 720328"/>
            <a:gd name="connsiteY2" fmla="*/ 500063 h 500063"/>
            <a:gd name="connsiteX0" fmla="*/ 0 w 800277"/>
            <a:gd name="connsiteY0" fmla="*/ 0 h 530782"/>
            <a:gd name="connsiteX1" fmla="*/ 454996 w 800277"/>
            <a:gd name="connsiteY1" fmla="*/ 221219 h 530782"/>
            <a:gd name="connsiteX2" fmla="*/ 800277 w 800277"/>
            <a:gd name="connsiteY2" fmla="*/ 530782 h 530782"/>
            <a:gd name="connsiteX0" fmla="*/ 0 w 896385"/>
            <a:gd name="connsiteY0" fmla="*/ 0 h 634636"/>
            <a:gd name="connsiteX1" fmla="*/ 454996 w 896385"/>
            <a:gd name="connsiteY1" fmla="*/ 221219 h 634636"/>
            <a:gd name="connsiteX2" fmla="*/ 896385 w 896385"/>
            <a:gd name="connsiteY2" fmla="*/ 634636 h 634636"/>
            <a:gd name="connsiteX0" fmla="*/ 0 w 896385"/>
            <a:gd name="connsiteY0" fmla="*/ 0 h 634636"/>
            <a:gd name="connsiteX1" fmla="*/ 454996 w 896385"/>
            <a:gd name="connsiteY1" fmla="*/ 221219 h 634636"/>
            <a:gd name="connsiteX2" fmla="*/ 896385 w 896385"/>
            <a:gd name="connsiteY2" fmla="*/ 634636 h 634636"/>
            <a:gd name="connsiteX0" fmla="*/ 0 w 921589"/>
            <a:gd name="connsiteY0" fmla="*/ 0 h 719342"/>
            <a:gd name="connsiteX1" fmla="*/ 454996 w 921589"/>
            <a:gd name="connsiteY1" fmla="*/ 221219 h 719342"/>
            <a:gd name="connsiteX2" fmla="*/ 921589 w 921589"/>
            <a:gd name="connsiteY2" fmla="*/ 719342 h 719342"/>
            <a:gd name="connsiteX0" fmla="*/ 0 w 921589"/>
            <a:gd name="connsiteY0" fmla="*/ 0 h 719342"/>
            <a:gd name="connsiteX1" fmla="*/ 543405 w 921589"/>
            <a:gd name="connsiteY1" fmla="*/ 234139 h 719342"/>
            <a:gd name="connsiteX2" fmla="*/ 921589 w 921589"/>
            <a:gd name="connsiteY2" fmla="*/ 719342 h 719342"/>
            <a:gd name="connsiteX0" fmla="*/ 0 w 921589"/>
            <a:gd name="connsiteY0" fmla="*/ 0 h 719342"/>
            <a:gd name="connsiteX1" fmla="*/ 549338 w 921589"/>
            <a:gd name="connsiteY1" fmla="*/ 236958 h 719342"/>
            <a:gd name="connsiteX2" fmla="*/ 921589 w 921589"/>
            <a:gd name="connsiteY2" fmla="*/ 719342 h 7193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21589" h="719342">
              <a:moveTo>
                <a:pt x="0" y="0"/>
              </a:moveTo>
              <a:cubicBezTo>
                <a:pt x="127496" y="53578"/>
                <a:pt x="429283" y="153614"/>
                <a:pt x="549338" y="236958"/>
              </a:cubicBezTo>
              <a:cubicBezTo>
                <a:pt x="669393" y="320302"/>
                <a:pt x="875295" y="543199"/>
                <a:pt x="921589" y="71934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991914</xdr:colOff>
      <xdr:row>8</xdr:row>
      <xdr:rowOff>926225</xdr:rowOff>
    </xdr:from>
    <xdr:to>
      <xdr:col>3</xdr:col>
      <xdr:colOff>1077310</xdr:colOff>
      <xdr:row>8</xdr:row>
      <xdr:rowOff>1011621</xdr:rowOff>
    </xdr:to>
    <xdr:sp macro="" textlink="">
      <xdr:nvSpPr>
        <xdr:cNvPr id="107" name="Прямоугольник 106"/>
        <xdr:cNvSpPr/>
      </xdr:nvSpPr>
      <xdr:spPr>
        <a:xfrm rot="2400000">
          <a:off x="2534964" y="9422525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978776</xdr:colOff>
      <xdr:row>8</xdr:row>
      <xdr:rowOff>801415</xdr:rowOff>
    </xdr:from>
    <xdr:to>
      <xdr:col>3</xdr:col>
      <xdr:colOff>1064172</xdr:colOff>
      <xdr:row>8</xdr:row>
      <xdr:rowOff>886811</xdr:rowOff>
    </xdr:to>
    <xdr:sp macro="" textlink="">
      <xdr:nvSpPr>
        <xdr:cNvPr id="108" name="Прямоугольник 107"/>
        <xdr:cNvSpPr/>
      </xdr:nvSpPr>
      <xdr:spPr>
        <a:xfrm rot="2400000">
          <a:off x="2521826" y="9297715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3</xdr:col>
      <xdr:colOff>804412</xdr:colOff>
      <xdr:row>13</xdr:row>
      <xdr:rowOff>54429</xdr:rowOff>
    </xdr:from>
    <xdr:to>
      <xdr:col>3</xdr:col>
      <xdr:colOff>804412</xdr:colOff>
      <xdr:row>13</xdr:row>
      <xdr:rowOff>1380361</xdr:rowOff>
    </xdr:to>
    <xdr:cxnSp macro="">
      <xdr:nvCxnSpPr>
        <xdr:cNvPr id="109" name="Прямая со стрелкой 10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7462" y="16170729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762179</xdr:colOff>
      <xdr:row>13</xdr:row>
      <xdr:rowOff>1350598</xdr:rowOff>
    </xdr:from>
    <xdr:to>
      <xdr:col>3</xdr:col>
      <xdr:colOff>834179</xdr:colOff>
      <xdr:row>13</xdr:row>
      <xdr:rowOff>1422598</xdr:rowOff>
    </xdr:to>
    <xdr:sp macro="" textlink="">
      <xdr:nvSpPr>
        <xdr:cNvPr id="110" name="Овал 10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5229" y="1746689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800690</xdr:colOff>
      <xdr:row>13</xdr:row>
      <xdr:rowOff>214866</xdr:rowOff>
    </xdr:from>
    <xdr:to>
      <xdr:col>3</xdr:col>
      <xdr:colOff>1074016</xdr:colOff>
      <xdr:row>13</xdr:row>
      <xdr:rowOff>960301</xdr:rowOff>
    </xdr:to>
    <xdr:sp macro="" textlink="">
      <xdr:nvSpPr>
        <xdr:cNvPr id="111" name="Полилиния 110"/>
        <xdr:cNvSpPr/>
      </xdr:nvSpPr>
      <xdr:spPr>
        <a:xfrm>
          <a:off x="2343740" y="16331166"/>
          <a:ext cx="273326" cy="745435"/>
        </a:xfrm>
        <a:custGeom>
          <a:avLst/>
          <a:gdLst>
            <a:gd name="connsiteX0" fmla="*/ 0 w 273326"/>
            <a:gd name="connsiteY0" fmla="*/ 745435 h 745435"/>
            <a:gd name="connsiteX1" fmla="*/ 91108 w 273326"/>
            <a:gd name="connsiteY1" fmla="*/ 298174 h 745435"/>
            <a:gd name="connsiteX2" fmla="*/ 273326 w 273326"/>
            <a:gd name="connsiteY2" fmla="*/ 0 h 7454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3326" h="745435">
              <a:moveTo>
                <a:pt x="0" y="745435"/>
              </a:moveTo>
              <a:cubicBezTo>
                <a:pt x="22777" y="583924"/>
                <a:pt x="45554" y="422413"/>
                <a:pt x="91108" y="298174"/>
              </a:cubicBezTo>
              <a:cubicBezTo>
                <a:pt x="136662" y="173935"/>
                <a:pt x="204994" y="86967"/>
                <a:pt x="273326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530678</xdr:colOff>
      <xdr:row>13</xdr:row>
      <xdr:rowOff>201614</xdr:rowOff>
    </xdr:from>
    <xdr:to>
      <xdr:col>3</xdr:col>
      <xdr:colOff>804004</xdr:colOff>
      <xdr:row>13</xdr:row>
      <xdr:rowOff>947049</xdr:rowOff>
    </xdr:to>
    <xdr:sp macro="" textlink="">
      <xdr:nvSpPr>
        <xdr:cNvPr id="112" name="Полилиния 111"/>
        <xdr:cNvSpPr/>
      </xdr:nvSpPr>
      <xdr:spPr>
        <a:xfrm flipH="1">
          <a:off x="2073728" y="16317914"/>
          <a:ext cx="273326" cy="745435"/>
        </a:xfrm>
        <a:custGeom>
          <a:avLst/>
          <a:gdLst>
            <a:gd name="connsiteX0" fmla="*/ 0 w 273326"/>
            <a:gd name="connsiteY0" fmla="*/ 745435 h 745435"/>
            <a:gd name="connsiteX1" fmla="*/ 91108 w 273326"/>
            <a:gd name="connsiteY1" fmla="*/ 298174 h 745435"/>
            <a:gd name="connsiteX2" fmla="*/ 273326 w 273326"/>
            <a:gd name="connsiteY2" fmla="*/ 0 h 7454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3326" h="745435">
              <a:moveTo>
                <a:pt x="0" y="745435"/>
              </a:moveTo>
              <a:cubicBezTo>
                <a:pt x="22777" y="583924"/>
                <a:pt x="45554" y="422413"/>
                <a:pt x="91108" y="298174"/>
              </a:cubicBezTo>
              <a:cubicBezTo>
                <a:pt x="136662" y="173935"/>
                <a:pt x="204994" y="86967"/>
                <a:pt x="27332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814871</xdr:colOff>
      <xdr:row>14</xdr:row>
      <xdr:rowOff>1305661</xdr:rowOff>
    </xdr:from>
    <xdr:to>
      <xdr:col>3</xdr:col>
      <xdr:colOff>886871</xdr:colOff>
      <xdr:row>14</xdr:row>
      <xdr:rowOff>1377661</xdr:rowOff>
    </xdr:to>
    <xdr:sp macro="" textlink="">
      <xdr:nvSpPr>
        <xdr:cNvPr id="113" name="Овал 11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57921" y="1894596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849743</xdr:colOff>
      <xdr:row>14</xdr:row>
      <xdr:rowOff>221514</xdr:rowOff>
    </xdr:from>
    <xdr:to>
      <xdr:col>3</xdr:col>
      <xdr:colOff>1047662</xdr:colOff>
      <xdr:row>14</xdr:row>
      <xdr:rowOff>1361087</xdr:rowOff>
    </xdr:to>
    <xdr:sp macro="" textlink="">
      <xdr:nvSpPr>
        <xdr:cNvPr id="114" name="Полилиния 113"/>
        <xdr:cNvSpPr/>
      </xdr:nvSpPr>
      <xdr:spPr>
        <a:xfrm>
          <a:off x="2392793" y="17861814"/>
          <a:ext cx="197919" cy="1139573"/>
        </a:xfrm>
        <a:custGeom>
          <a:avLst/>
          <a:gdLst>
            <a:gd name="connsiteX0" fmla="*/ 0 w 240196"/>
            <a:gd name="connsiteY0" fmla="*/ 1192696 h 1196056"/>
            <a:gd name="connsiteX1" fmla="*/ 16565 w 240196"/>
            <a:gd name="connsiteY1" fmla="*/ 1126435 h 1196056"/>
            <a:gd name="connsiteX2" fmla="*/ 49696 w 240196"/>
            <a:gd name="connsiteY2" fmla="*/ 720587 h 1196056"/>
            <a:gd name="connsiteX3" fmla="*/ 149087 w 240196"/>
            <a:gd name="connsiteY3" fmla="*/ 265044 h 1196056"/>
            <a:gd name="connsiteX4" fmla="*/ 240196 w 240196"/>
            <a:gd name="connsiteY4" fmla="*/ 0 h 1196056"/>
            <a:gd name="connsiteX0" fmla="*/ 0 w 223631"/>
            <a:gd name="connsiteY0" fmla="*/ 1126435 h 1126435"/>
            <a:gd name="connsiteX1" fmla="*/ 33131 w 223631"/>
            <a:gd name="connsiteY1" fmla="*/ 720587 h 1126435"/>
            <a:gd name="connsiteX2" fmla="*/ 132522 w 223631"/>
            <a:gd name="connsiteY2" fmla="*/ 265044 h 1126435"/>
            <a:gd name="connsiteX3" fmla="*/ 223631 w 223631"/>
            <a:gd name="connsiteY3" fmla="*/ 0 h 1126435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8127 w 198914"/>
            <a:gd name="connsiteY0" fmla="*/ 1139573 h 1139573"/>
            <a:gd name="connsiteX1" fmla="*/ 8414 w 198914"/>
            <a:gd name="connsiteY1" fmla="*/ 720587 h 1139573"/>
            <a:gd name="connsiteX2" fmla="*/ 107805 w 198914"/>
            <a:gd name="connsiteY2" fmla="*/ 265044 h 1139573"/>
            <a:gd name="connsiteX3" fmla="*/ 198914 w 198914"/>
            <a:gd name="connsiteY3" fmla="*/ 0 h 1139573"/>
            <a:gd name="connsiteX0" fmla="*/ 7132 w 197919"/>
            <a:gd name="connsiteY0" fmla="*/ 1139573 h 1139573"/>
            <a:gd name="connsiteX1" fmla="*/ 7419 w 197919"/>
            <a:gd name="connsiteY1" fmla="*/ 720587 h 1139573"/>
            <a:gd name="connsiteX2" fmla="*/ 106810 w 197919"/>
            <a:gd name="connsiteY2" fmla="*/ 265044 h 1139573"/>
            <a:gd name="connsiteX3" fmla="*/ 197919 w 197919"/>
            <a:gd name="connsiteY3" fmla="*/ 0 h 1139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919" h="1139573">
              <a:moveTo>
                <a:pt x="7132" y="1139573"/>
              </a:moveTo>
              <a:cubicBezTo>
                <a:pt x="7309" y="1012809"/>
                <a:pt x="-9194" y="866342"/>
                <a:pt x="7419" y="720587"/>
              </a:cubicBezTo>
              <a:cubicBezTo>
                <a:pt x="24032" y="574832"/>
                <a:pt x="75060" y="385142"/>
                <a:pt x="106810" y="265044"/>
              </a:cubicBezTo>
              <a:cubicBezTo>
                <a:pt x="138560" y="144946"/>
                <a:pt x="168239" y="72473"/>
                <a:pt x="197919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554759</xdr:colOff>
      <xdr:row>14</xdr:row>
      <xdr:rowOff>193673</xdr:rowOff>
    </xdr:from>
    <xdr:to>
      <xdr:col>3</xdr:col>
      <xdr:colOff>856809</xdr:colOff>
      <xdr:row>14</xdr:row>
      <xdr:rowOff>1001315</xdr:rowOff>
    </xdr:to>
    <xdr:sp macro="" textlink="">
      <xdr:nvSpPr>
        <xdr:cNvPr id="115" name="Полилиния 114"/>
        <xdr:cNvSpPr/>
      </xdr:nvSpPr>
      <xdr:spPr>
        <a:xfrm>
          <a:off x="2097809" y="17833973"/>
          <a:ext cx="302050" cy="807642"/>
        </a:xfrm>
        <a:custGeom>
          <a:avLst/>
          <a:gdLst>
            <a:gd name="connsiteX0" fmla="*/ 289891 w 295486"/>
            <a:gd name="connsiteY0" fmla="*/ 811696 h 811696"/>
            <a:gd name="connsiteX1" fmla="*/ 256761 w 295486"/>
            <a:gd name="connsiteY1" fmla="*/ 563218 h 811696"/>
            <a:gd name="connsiteX2" fmla="*/ 0 w 295486"/>
            <a:gd name="connsiteY2" fmla="*/ 0 h 811696"/>
            <a:gd name="connsiteX0" fmla="*/ 302050 w 305256"/>
            <a:gd name="connsiteY0" fmla="*/ 807642 h 807642"/>
            <a:gd name="connsiteX1" fmla="*/ 256761 w 305256"/>
            <a:gd name="connsiteY1" fmla="*/ 563218 h 807642"/>
            <a:gd name="connsiteX2" fmla="*/ 0 w 305256"/>
            <a:gd name="connsiteY2" fmla="*/ 0 h 807642"/>
            <a:gd name="connsiteX0" fmla="*/ 302050 w 302050"/>
            <a:gd name="connsiteY0" fmla="*/ 807642 h 807642"/>
            <a:gd name="connsiteX1" fmla="*/ 256761 w 302050"/>
            <a:gd name="connsiteY1" fmla="*/ 563218 h 807642"/>
            <a:gd name="connsiteX2" fmla="*/ 0 w 302050"/>
            <a:gd name="connsiteY2" fmla="*/ 0 h 807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050" h="807642">
              <a:moveTo>
                <a:pt x="302050" y="807642"/>
              </a:moveTo>
              <a:cubicBezTo>
                <a:pt x="293429" y="746990"/>
                <a:pt x="307103" y="697825"/>
                <a:pt x="256761" y="563218"/>
              </a:cubicBezTo>
              <a:cubicBezTo>
                <a:pt x="206419" y="428611"/>
                <a:pt x="46935" y="9387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814871</xdr:colOff>
      <xdr:row>15</xdr:row>
      <xdr:rowOff>1322979</xdr:rowOff>
    </xdr:from>
    <xdr:to>
      <xdr:col>3</xdr:col>
      <xdr:colOff>886871</xdr:colOff>
      <xdr:row>15</xdr:row>
      <xdr:rowOff>1394979</xdr:rowOff>
    </xdr:to>
    <xdr:sp macro="" textlink="">
      <xdr:nvSpPr>
        <xdr:cNvPr id="116" name="Овал 11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57921" y="2048727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849743</xdr:colOff>
      <xdr:row>15</xdr:row>
      <xdr:rowOff>238832</xdr:rowOff>
    </xdr:from>
    <xdr:to>
      <xdr:col>3</xdr:col>
      <xdr:colOff>1047662</xdr:colOff>
      <xdr:row>15</xdr:row>
      <xdr:rowOff>1378405</xdr:rowOff>
    </xdr:to>
    <xdr:sp macro="" textlink="">
      <xdr:nvSpPr>
        <xdr:cNvPr id="117" name="Полилиния 116"/>
        <xdr:cNvSpPr/>
      </xdr:nvSpPr>
      <xdr:spPr>
        <a:xfrm>
          <a:off x="2392793" y="19403132"/>
          <a:ext cx="197919" cy="1139573"/>
        </a:xfrm>
        <a:custGeom>
          <a:avLst/>
          <a:gdLst>
            <a:gd name="connsiteX0" fmla="*/ 0 w 240196"/>
            <a:gd name="connsiteY0" fmla="*/ 1192696 h 1196056"/>
            <a:gd name="connsiteX1" fmla="*/ 16565 w 240196"/>
            <a:gd name="connsiteY1" fmla="*/ 1126435 h 1196056"/>
            <a:gd name="connsiteX2" fmla="*/ 49696 w 240196"/>
            <a:gd name="connsiteY2" fmla="*/ 720587 h 1196056"/>
            <a:gd name="connsiteX3" fmla="*/ 149087 w 240196"/>
            <a:gd name="connsiteY3" fmla="*/ 265044 h 1196056"/>
            <a:gd name="connsiteX4" fmla="*/ 240196 w 240196"/>
            <a:gd name="connsiteY4" fmla="*/ 0 h 1196056"/>
            <a:gd name="connsiteX0" fmla="*/ 0 w 223631"/>
            <a:gd name="connsiteY0" fmla="*/ 1126435 h 1126435"/>
            <a:gd name="connsiteX1" fmla="*/ 33131 w 223631"/>
            <a:gd name="connsiteY1" fmla="*/ 720587 h 1126435"/>
            <a:gd name="connsiteX2" fmla="*/ 132522 w 223631"/>
            <a:gd name="connsiteY2" fmla="*/ 265044 h 1126435"/>
            <a:gd name="connsiteX3" fmla="*/ 223631 w 223631"/>
            <a:gd name="connsiteY3" fmla="*/ 0 h 1126435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8127 w 198914"/>
            <a:gd name="connsiteY0" fmla="*/ 1139573 h 1139573"/>
            <a:gd name="connsiteX1" fmla="*/ 8414 w 198914"/>
            <a:gd name="connsiteY1" fmla="*/ 720587 h 1139573"/>
            <a:gd name="connsiteX2" fmla="*/ 107805 w 198914"/>
            <a:gd name="connsiteY2" fmla="*/ 265044 h 1139573"/>
            <a:gd name="connsiteX3" fmla="*/ 198914 w 198914"/>
            <a:gd name="connsiteY3" fmla="*/ 0 h 1139573"/>
            <a:gd name="connsiteX0" fmla="*/ 7132 w 197919"/>
            <a:gd name="connsiteY0" fmla="*/ 1139573 h 1139573"/>
            <a:gd name="connsiteX1" fmla="*/ 7419 w 197919"/>
            <a:gd name="connsiteY1" fmla="*/ 720587 h 1139573"/>
            <a:gd name="connsiteX2" fmla="*/ 106810 w 197919"/>
            <a:gd name="connsiteY2" fmla="*/ 265044 h 1139573"/>
            <a:gd name="connsiteX3" fmla="*/ 197919 w 197919"/>
            <a:gd name="connsiteY3" fmla="*/ 0 h 1139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919" h="1139573">
              <a:moveTo>
                <a:pt x="7132" y="1139573"/>
              </a:moveTo>
              <a:cubicBezTo>
                <a:pt x="7309" y="1012809"/>
                <a:pt x="-9194" y="866342"/>
                <a:pt x="7419" y="720587"/>
              </a:cubicBezTo>
              <a:cubicBezTo>
                <a:pt x="24032" y="574832"/>
                <a:pt x="75060" y="385142"/>
                <a:pt x="106810" y="265044"/>
              </a:cubicBezTo>
              <a:cubicBezTo>
                <a:pt x="138560" y="144946"/>
                <a:pt x="168239" y="72473"/>
                <a:pt x="197919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554759</xdr:colOff>
      <xdr:row>15</xdr:row>
      <xdr:rowOff>210991</xdr:rowOff>
    </xdr:from>
    <xdr:to>
      <xdr:col>3</xdr:col>
      <xdr:colOff>856809</xdr:colOff>
      <xdr:row>15</xdr:row>
      <xdr:rowOff>1018633</xdr:rowOff>
    </xdr:to>
    <xdr:sp macro="" textlink="">
      <xdr:nvSpPr>
        <xdr:cNvPr id="118" name="Полилиния 117"/>
        <xdr:cNvSpPr/>
      </xdr:nvSpPr>
      <xdr:spPr>
        <a:xfrm>
          <a:off x="2097809" y="19375291"/>
          <a:ext cx="302050" cy="807642"/>
        </a:xfrm>
        <a:custGeom>
          <a:avLst/>
          <a:gdLst>
            <a:gd name="connsiteX0" fmla="*/ 289891 w 295486"/>
            <a:gd name="connsiteY0" fmla="*/ 811696 h 811696"/>
            <a:gd name="connsiteX1" fmla="*/ 256761 w 295486"/>
            <a:gd name="connsiteY1" fmla="*/ 563218 h 811696"/>
            <a:gd name="connsiteX2" fmla="*/ 0 w 295486"/>
            <a:gd name="connsiteY2" fmla="*/ 0 h 811696"/>
            <a:gd name="connsiteX0" fmla="*/ 302050 w 305256"/>
            <a:gd name="connsiteY0" fmla="*/ 807642 h 807642"/>
            <a:gd name="connsiteX1" fmla="*/ 256761 w 305256"/>
            <a:gd name="connsiteY1" fmla="*/ 563218 h 807642"/>
            <a:gd name="connsiteX2" fmla="*/ 0 w 305256"/>
            <a:gd name="connsiteY2" fmla="*/ 0 h 807642"/>
            <a:gd name="connsiteX0" fmla="*/ 302050 w 302050"/>
            <a:gd name="connsiteY0" fmla="*/ 807642 h 807642"/>
            <a:gd name="connsiteX1" fmla="*/ 256761 w 302050"/>
            <a:gd name="connsiteY1" fmla="*/ 563218 h 807642"/>
            <a:gd name="connsiteX2" fmla="*/ 0 w 302050"/>
            <a:gd name="connsiteY2" fmla="*/ 0 h 807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050" h="807642">
              <a:moveTo>
                <a:pt x="302050" y="807642"/>
              </a:moveTo>
              <a:cubicBezTo>
                <a:pt x="293429" y="746990"/>
                <a:pt x="307103" y="697825"/>
                <a:pt x="256761" y="563218"/>
              </a:cubicBezTo>
              <a:cubicBezTo>
                <a:pt x="206419" y="428611"/>
                <a:pt x="46935" y="9387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832190</xdr:colOff>
      <xdr:row>17</xdr:row>
      <xdr:rowOff>1271025</xdr:rowOff>
    </xdr:from>
    <xdr:to>
      <xdr:col>3</xdr:col>
      <xdr:colOff>904190</xdr:colOff>
      <xdr:row>17</xdr:row>
      <xdr:rowOff>1343025</xdr:rowOff>
    </xdr:to>
    <xdr:sp macro="" textlink="">
      <xdr:nvSpPr>
        <xdr:cNvPr id="119" name="Овал 118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75240" y="2348332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867062</xdr:colOff>
      <xdr:row>17</xdr:row>
      <xdr:rowOff>186878</xdr:rowOff>
    </xdr:from>
    <xdr:to>
      <xdr:col>3</xdr:col>
      <xdr:colOff>1064981</xdr:colOff>
      <xdr:row>17</xdr:row>
      <xdr:rowOff>1326451</xdr:rowOff>
    </xdr:to>
    <xdr:sp macro="" textlink="">
      <xdr:nvSpPr>
        <xdr:cNvPr id="120" name="Полилиния 119"/>
        <xdr:cNvSpPr/>
      </xdr:nvSpPr>
      <xdr:spPr>
        <a:xfrm>
          <a:off x="2410112" y="22399178"/>
          <a:ext cx="197919" cy="1139573"/>
        </a:xfrm>
        <a:custGeom>
          <a:avLst/>
          <a:gdLst>
            <a:gd name="connsiteX0" fmla="*/ 0 w 240196"/>
            <a:gd name="connsiteY0" fmla="*/ 1192696 h 1196056"/>
            <a:gd name="connsiteX1" fmla="*/ 16565 w 240196"/>
            <a:gd name="connsiteY1" fmla="*/ 1126435 h 1196056"/>
            <a:gd name="connsiteX2" fmla="*/ 49696 w 240196"/>
            <a:gd name="connsiteY2" fmla="*/ 720587 h 1196056"/>
            <a:gd name="connsiteX3" fmla="*/ 149087 w 240196"/>
            <a:gd name="connsiteY3" fmla="*/ 265044 h 1196056"/>
            <a:gd name="connsiteX4" fmla="*/ 240196 w 240196"/>
            <a:gd name="connsiteY4" fmla="*/ 0 h 1196056"/>
            <a:gd name="connsiteX0" fmla="*/ 0 w 223631"/>
            <a:gd name="connsiteY0" fmla="*/ 1126435 h 1126435"/>
            <a:gd name="connsiteX1" fmla="*/ 33131 w 223631"/>
            <a:gd name="connsiteY1" fmla="*/ 720587 h 1126435"/>
            <a:gd name="connsiteX2" fmla="*/ 132522 w 223631"/>
            <a:gd name="connsiteY2" fmla="*/ 265044 h 1126435"/>
            <a:gd name="connsiteX3" fmla="*/ 223631 w 223631"/>
            <a:gd name="connsiteY3" fmla="*/ 0 h 1126435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8127 w 198914"/>
            <a:gd name="connsiteY0" fmla="*/ 1139573 h 1139573"/>
            <a:gd name="connsiteX1" fmla="*/ 8414 w 198914"/>
            <a:gd name="connsiteY1" fmla="*/ 720587 h 1139573"/>
            <a:gd name="connsiteX2" fmla="*/ 107805 w 198914"/>
            <a:gd name="connsiteY2" fmla="*/ 265044 h 1139573"/>
            <a:gd name="connsiteX3" fmla="*/ 198914 w 198914"/>
            <a:gd name="connsiteY3" fmla="*/ 0 h 1139573"/>
            <a:gd name="connsiteX0" fmla="*/ 7132 w 197919"/>
            <a:gd name="connsiteY0" fmla="*/ 1139573 h 1139573"/>
            <a:gd name="connsiteX1" fmla="*/ 7419 w 197919"/>
            <a:gd name="connsiteY1" fmla="*/ 720587 h 1139573"/>
            <a:gd name="connsiteX2" fmla="*/ 106810 w 197919"/>
            <a:gd name="connsiteY2" fmla="*/ 265044 h 1139573"/>
            <a:gd name="connsiteX3" fmla="*/ 197919 w 197919"/>
            <a:gd name="connsiteY3" fmla="*/ 0 h 1139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919" h="1139573">
              <a:moveTo>
                <a:pt x="7132" y="1139573"/>
              </a:moveTo>
              <a:cubicBezTo>
                <a:pt x="7309" y="1012809"/>
                <a:pt x="-9194" y="866342"/>
                <a:pt x="7419" y="720587"/>
              </a:cubicBezTo>
              <a:cubicBezTo>
                <a:pt x="24032" y="574832"/>
                <a:pt x="75060" y="385142"/>
                <a:pt x="106810" y="265044"/>
              </a:cubicBezTo>
              <a:cubicBezTo>
                <a:pt x="138560" y="144946"/>
                <a:pt x="168239" y="72473"/>
                <a:pt x="197919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572078</xdr:colOff>
      <xdr:row>17</xdr:row>
      <xdr:rowOff>159037</xdr:rowOff>
    </xdr:from>
    <xdr:to>
      <xdr:col>3</xdr:col>
      <xdr:colOff>874128</xdr:colOff>
      <xdr:row>17</xdr:row>
      <xdr:rowOff>966679</xdr:rowOff>
    </xdr:to>
    <xdr:sp macro="" textlink="">
      <xdr:nvSpPr>
        <xdr:cNvPr id="121" name="Полилиния 120"/>
        <xdr:cNvSpPr/>
      </xdr:nvSpPr>
      <xdr:spPr>
        <a:xfrm>
          <a:off x="2115128" y="22371337"/>
          <a:ext cx="302050" cy="807642"/>
        </a:xfrm>
        <a:custGeom>
          <a:avLst/>
          <a:gdLst>
            <a:gd name="connsiteX0" fmla="*/ 289891 w 295486"/>
            <a:gd name="connsiteY0" fmla="*/ 811696 h 811696"/>
            <a:gd name="connsiteX1" fmla="*/ 256761 w 295486"/>
            <a:gd name="connsiteY1" fmla="*/ 563218 h 811696"/>
            <a:gd name="connsiteX2" fmla="*/ 0 w 295486"/>
            <a:gd name="connsiteY2" fmla="*/ 0 h 811696"/>
            <a:gd name="connsiteX0" fmla="*/ 302050 w 305256"/>
            <a:gd name="connsiteY0" fmla="*/ 807642 h 807642"/>
            <a:gd name="connsiteX1" fmla="*/ 256761 w 305256"/>
            <a:gd name="connsiteY1" fmla="*/ 563218 h 807642"/>
            <a:gd name="connsiteX2" fmla="*/ 0 w 305256"/>
            <a:gd name="connsiteY2" fmla="*/ 0 h 807642"/>
            <a:gd name="connsiteX0" fmla="*/ 302050 w 302050"/>
            <a:gd name="connsiteY0" fmla="*/ 807642 h 807642"/>
            <a:gd name="connsiteX1" fmla="*/ 256761 w 302050"/>
            <a:gd name="connsiteY1" fmla="*/ 563218 h 807642"/>
            <a:gd name="connsiteX2" fmla="*/ 0 w 302050"/>
            <a:gd name="connsiteY2" fmla="*/ 0 h 807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050" h="807642">
              <a:moveTo>
                <a:pt x="302050" y="807642"/>
              </a:moveTo>
              <a:cubicBezTo>
                <a:pt x="293429" y="746990"/>
                <a:pt x="307103" y="697825"/>
                <a:pt x="256761" y="563218"/>
              </a:cubicBezTo>
              <a:cubicBezTo>
                <a:pt x="206419" y="428611"/>
                <a:pt x="46935" y="9387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807657</xdr:colOff>
      <xdr:row>18</xdr:row>
      <xdr:rowOff>27551</xdr:rowOff>
    </xdr:from>
    <xdr:to>
      <xdr:col>3</xdr:col>
      <xdr:colOff>807657</xdr:colOff>
      <xdr:row>18</xdr:row>
      <xdr:rowOff>1353483</xdr:rowOff>
    </xdr:to>
    <xdr:cxnSp macro="">
      <xdr:nvCxnSpPr>
        <xdr:cNvPr id="122" name="Прямая со стрелкой 12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50707" y="23763851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765424</xdr:colOff>
      <xdr:row>18</xdr:row>
      <xdr:rowOff>1323720</xdr:rowOff>
    </xdr:from>
    <xdr:to>
      <xdr:col>3</xdr:col>
      <xdr:colOff>837424</xdr:colOff>
      <xdr:row>18</xdr:row>
      <xdr:rowOff>1395720</xdr:rowOff>
    </xdr:to>
    <xdr:sp macro="" textlink="">
      <xdr:nvSpPr>
        <xdr:cNvPr id="123" name="Овал 12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8474" y="2506002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811048</xdr:colOff>
      <xdr:row>18</xdr:row>
      <xdr:rowOff>70468</xdr:rowOff>
    </xdr:from>
    <xdr:to>
      <xdr:col>3</xdr:col>
      <xdr:colOff>1034858</xdr:colOff>
      <xdr:row>18</xdr:row>
      <xdr:rowOff>939422</xdr:rowOff>
    </xdr:to>
    <xdr:cxnSp macro="">
      <xdr:nvCxnSpPr>
        <xdr:cNvPr id="124" name="Прямая со стрелкой 123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V="1">
          <a:off x="2354098" y="23806768"/>
          <a:ext cx="223810" cy="868954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596648</xdr:colOff>
      <xdr:row>18</xdr:row>
      <xdr:rowOff>123020</xdr:rowOff>
    </xdr:from>
    <xdr:to>
      <xdr:col>3</xdr:col>
      <xdr:colOff>808610</xdr:colOff>
      <xdr:row>18</xdr:row>
      <xdr:rowOff>945957</xdr:rowOff>
    </xdr:to>
    <xdr:cxnSp macro="">
      <xdr:nvCxnSpPr>
        <xdr:cNvPr id="125" name="Прямая со стрелкой 124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H="1" flipV="1">
          <a:off x="2139698" y="23859320"/>
          <a:ext cx="211962" cy="82293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932793</xdr:colOff>
      <xdr:row>8</xdr:row>
      <xdr:rowOff>1005053</xdr:rowOff>
    </xdr:from>
    <xdr:to>
      <xdr:col>3</xdr:col>
      <xdr:colOff>1018189</xdr:colOff>
      <xdr:row>8</xdr:row>
      <xdr:rowOff>1090449</xdr:rowOff>
    </xdr:to>
    <xdr:sp macro="" textlink="">
      <xdr:nvSpPr>
        <xdr:cNvPr id="126" name="Прямоугольник 125"/>
        <xdr:cNvSpPr/>
      </xdr:nvSpPr>
      <xdr:spPr>
        <a:xfrm rot="2400000">
          <a:off x="2475843" y="9501353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3</xdr:col>
      <xdr:colOff>486273</xdr:colOff>
      <xdr:row>4</xdr:row>
      <xdr:rowOff>2196789</xdr:rowOff>
    </xdr:from>
    <xdr:to>
      <xdr:col>3</xdr:col>
      <xdr:colOff>630568</xdr:colOff>
      <xdr:row>4</xdr:row>
      <xdr:rowOff>2340670</xdr:rowOff>
    </xdr:to>
    <xdr:sp macro="" textlink="">
      <xdr:nvSpPr>
        <xdr:cNvPr id="127" name="Овал 126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029323" y="3073089"/>
          <a:ext cx="144295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425823</xdr:colOff>
      <xdr:row>4</xdr:row>
      <xdr:rowOff>78441</xdr:rowOff>
    </xdr:from>
    <xdr:to>
      <xdr:col>5</xdr:col>
      <xdr:colOff>201914</xdr:colOff>
      <xdr:row>4</xdr:row>
      <xdr:rowOff>2886245</xdr:rowOff>
    </xdr:to>
    <xdr:sp macro="" textlink="">
      <xdr:nvSpPr>
        <xdr:cNvPr id="128" name="Полилиния 127"/>
        <xdr:cNvSpPr/>
      </xdr:nvSpPr>
      <xdr:spPr>
        <a:xfrm>
          <a:off x="1968873" y="954741"/>
          <a:ext cx="2738366" cy="2807804"/>
        </a:xfrm>
        <a:custGeom>
          <a:avLst/>
          <a:gdLst>
            <a:gd name="connsiteX0" fmla="*/ 2733261 w 2733261"/>
            <a:gd name="connsiteY0" fmla="*/ 0 h 2807804"/>
            <a:gd name="connsiteX1" fmla="*/ 2733261 w 2733261"/>
            <a:gd name="connsiteY1" fmla="*/ 1300369 h 2807804"/>
            <a:gd name="connsiteX2" fmla="*/ 2236305 w 2733261"/>
            <a:gd name="connsiteY2" fmla="*/ 1300369 h 2807804"/>
            <a:gd name="connsiteX3" fmla="*/ 2236305 w 2733261"/>
            <a:gd name="connsiteY3" fmla="*/ 289891 h 2807804"/>
            <a:gd name="connsiteX4" fmla="*/ 381000 w 2733261"/>
            <a:gd name="connsiteY4" fmla="*/ 289891 h 2807804"/>
            <a:gd name="connsiteX5" fmla="*/ 381000 w 2733261"/>
            <a:gd name="connsiteY5" fmla="*/ 579782 h 2807804"/>
            <a:gd name="connsiteX6" fmla="*/ 149087 w 2733261"/>
            <a:gd name="connsiteY6" fmla="*/ 811695 h 2807804"/>
            <a:gd name="connsiteX7" fmla="*/ 0 w 2733261"/>
            <a:gd name="connsiteY7" fmla="*/ 811695 h 2807804"/>
            <a:gd name="connsiteX8" fmla="*/ 0 w 2733261"/>
            <a:gd name="connsiteY8" fmla="*/ 2426804 h 2807804"/>
            <a:gd name="connsiteX9" fmla="*/ 1027044 w 2733261"/>
            <a:gd name="connsiteY9" fmla="*/ 2426804 h 2807804"/>
            <a:gd name="connsiteX10" fmla="*/ 1027044 w 2733261"/>
            <a:gd name="connsiteY10" fmla="*/ 2807804 h 28078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733261" h="2807804">
              <a:moveTo>
                <a:pt x="2733261" y="0"/>
              </a:moveTo>
              <a:lnTo>
                <a:pt x="2733261" y="1300369"/>
              </a:lnTo>
              <a:lnTo>
                <a:pt x="2236305" y="1300369"/>
              </a:lnTo>
              <a:lnTo>
                <a:pt x="2236305" y="289891"/>
              </a:lnTo>
              <a:lnTo>
                <a:pt x="381000" y="289891"/>
              </a:lnTo>
              <a:lnTo>
                <a:pt x="381000" y="579782"/>
              </a:lnTo>
              <a:lnTo>
                <a:pt x="149087" y="811695"/>
              </a:lnTo>
              <a:lnTo>
                <a:pt x="0" y="811695"/>
              </a:lnTo>
              <a:lnTo>
                <a:pt x="0" y="2426804"/>
              </a:lnTo>
              <a:lnTo>
                <a:pt x="1027044" y="2426804"/>
              </a:lnTo>
              <a:lnTo>
                <a:pt x="1027044" y="2807804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38516</xdr:colOff>
      <xdr:row>4</xdr:row>
      <xdr:rowOff>1617712</xdr:rowOff>
    </xdr:from>
    <xdr:to>
      <xdr:col>5</xdr:col>
      <xdr:colOff>197207</xdr:colOff>
      <xdr:row>4</xdr:row>
      <xdr:rowOff>2882659</xdr:rowOff>
    </xdr:to>
    <xdr:sp macro="" textlink="">
      <xdr:nvSpPr>
        <xdr:cNvPr id="129" name="Полилиния 128"/>
        <xdr:cNvSpPr/>
      </xdr:nvSpPr>
      <xdr:spPr>
        <a:xfrm>
          <a:off x="3162716" y="2494012"/>
          <a:ext cx="1539816" cy="1264947"/>
        </a:xfrm>
        <a:custGeom>
          <a:avLst/>
          <a:gdLst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167848 w 1532283"/>
            <a:gd name="connsiteY4" fmla="*/ 0 h 1250674"/>
            <a:gd name="connsiteX5" fmla="*/ 1532283 w 1532283"/>
            <a:gd name="connsiteY5" fmla="*/ 0 h 1250674"/>
            <a:gd name="connsiteX6" fmla="*/ 1532283 w 1532283"/>
            <a:gd name="connsiteY6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69369 h 1269369"/>
            <a:gd name="connsiteX1" fmla="*/ 0 w 1532283"/>
            <a:gd name="connsiteY1" fmla="*/ 886239 h 1269369"/>
            <a:gd name="connsiteX2" fmla="*/ 1034162 w 1532283"/>
            <a:gd name="connsiteY2" fmla="*/ 881910 h 1269369"/>
            <a:gd name="connsiteX3" fmla="*/ 1034162 w 1532283"/>
            <a:gd name="connsiteY3" fmla="*/ 0 h 1269369"/>
            <a:gd name="connsiteX4" fmla="*/ 1532283 w 1532283"/>
            <a:gd name="connsiteY4" fmla="*/ 0 h 1269369"/>
            <a:gd name="connsiteX5" fmla="*/ 1532283 w 1532283"/>
            <a:gd name="connsiteY5" fmla="*/ 1250674 h 1269369"/>
            <a:gd name="connsiteX0" fmla="*/ 0 w 1532283"/>
            <a:gd name="connsiteY0" fmla="*/ 1236712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53041 h 1253041"/>
            <a:gd name="connsiteX1" fmla="*/ 0 w 1532283"/>
            <a:gd name="connsiteY1" fmla="*/ 886239 h 1253041"/>
            <a:gd name="connsiteX2" fmla="*/ 1034162 w 1532283"/>
            <a:gd name="connsiteY2" fmla="*/ 881910 h 1253041"/>
            <a:gd name="connsiteX3" fmla="*/ 1034162 w 1532283"/>
            <a:gd name="connsiteY3" fmla="*/ 0 h 1253041"/>
            <a:gd name="connsiteX4" fmla="*/ 1532283 w 1532283"/>
            <a:gd name="connsiteY4" fmla="*/ 0 h 1253041"/>
            <a:gd name="connsiteX5" fmla="*/ 1532283 w 1532283"/>
            <a:gd name="connsiteY5" fmla="*/ 1250674 h 1253041"/>
            <a:gd name="connsiteX0" fmla="*/ 5961 w 1532283"/>
            <a:gd name="connsiteY0" fmla="*/ 1264947 h 1264947"/>
            <a:gd name="connsiteX1" fmla="*/ 0 w 1532283"/>
            <a:gd name="connsiteY1" fmla="*/ 886239 h 1264947"/>
            <a:gd name="connsiteX2" fmla="*/ 1034162 w 1532283"/>
            <a:gd name="connsiteY2" fmla="*/ 881910 h 1264947"/>
            <a:gd name="connsiteX3" fmla="*/ 1034162 w 1532283"/>
            <a:gd name="connsiteY3" fmla="*/ 0 h 1264947"/>
            <a:gd name="connsiteX4" fmla="*/ 1532283 w 1532283"/>
            <a:gd name="connsiteY4" fmla="*/ 0 h 1264947"/>
            <a:gd name="connsiteX5" fmla="*/ 1532283 w 1532283"/>
            <a:gd name="connsiteY5" fmla="*/ 1250674 h 12649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532283" h="1264947">
              <a:moveTo>
                <a:pt x="5961" y="1264947"/>
              </a:moveTo>
              <a:lnTo>
                <a:pt x="0" y="886239"/>
              </a:lnTo>
              <a:lnTo>
                <a:pt x="1034162" y="881910"/>
              </a:lnTo>
              <a:lnTo>
                <a:pt x="1034162" y="0"/>
              </a:lnTo>
              <a:lnTo>
                <a:pt x="1532283" y="0"/>
              </a:lnTo>
              <a:lnTo>
                <a:pt x="1532283" y="1250674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518659</xdr:colOff>
      <xdr:row>4</xdr:row>
      <xdr:rowOff>1694653</xdr:rowOff>
    </xdr:from>
    <xdr:to>
      <xdr:col>5</xdr:col>
      <xdr:colOff>798375</xdr:colOff>
      <xdr:row>4</xdr:row>
      <xdr:rowOff>2872564</xdr:rowOff>
    </xdr:to>
    <xdr:sp macro="" textlink="">
      <xdr:nvSpPr>
        <xdr:cNvPr id="130" name="Полилиния 129"/>
        <xdr:cNvSpPr/>
      </xdr:nvSpPr>
      <xdr:spPr>
        <a:xfrm>
          <a:off x="5023984" y="2570953"/>
          <a:ext cx="279716" cy="1177911"/>
        </a:xfrm>
        <a:custGeom>
          <a:avLst/>
          <a:gdLst>
            <a:gd name="connsiteX0" fmla="*/ 257735 w 257735"/>
            <a:gd name="connsiteY0" fmla="*/ 56029 h 1053353"/>
            <a:gd name="connsiteX1" fmla="*/ 0 w 257735"/>
            <a:gd name="connsiteY1" fmla="*/ 0 h 1053353"/>
            <a:gd name="connsiteX2" fmla="*/ 0 w 257735"/>
            <a:gd name="connsiteY2" fmla="*/ 1053353 h 1053353"/>
            <a:gd name="connsiteX0" fmla="*/ 279716 w 279716"/>
            <a:gd name="connsiteY0" fmla="*/ 41375 h 1053353"/>
            <a:gd name="connsiteX1" fmla="*/ 0 w 279716"/>
            <a:gd name="connsiteY1" fmla="*/ 0 h 1053353"/>
            <a:gd name="connsiteX2" fmla="*/ 0 w 279716"/>
            <a:gd name="connsiteY2" fmla="*/ 1053353 h 1053353"/>
            <a:gd name="connsiteX0" fmla="*/ 279716 w 279716"/>
            <a:gd name="connsiteY0" fmla="*/ 41375 h 1177911"/>
            <a:gd name="connsiteX1" fmla="*/ 0 w 279716"/>
            <a:gd name="connsiteY1" fmla="*/ 0 h 1177911"/>
            <a:gd name="connsiteX2" fmla="*/ 0 w 279716"/>
            <a:gd name="connsiteY2" fmla="*/ 1177911 h 1177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9716" h="1177911">
              <a:moveTo>
                <a:pt x="279716" y="41375"/>
              </a:moveTo>
              <a:lnTo>
                <a:pt x="0" y="0"/>
              </a:lnTo>
              <a:lnTo>
                <a:pt x="0" y="1177911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511085</xdr:colOff>
      <xdr:row>4</xdr:row>
      <xdr:rowOff>1530488</xdr:rowOff>
    </xdr:from>
    <xdr:to>
      <xdr:col>5</xdr:col>
      <xdr:colOff>384345</xdr:colOff>
      <xdr:row>4</xdr:row>
      <xdr:rowOff>2278549</xdr:rowOff>
    </xdr:to>
    <xdr:sp macro="" textlink="">
      <xdr:nvSpPr>
        <xdr:cNvPr id="131" name="Полилиния 130"/>
        <xdr:cNvSpPr/>
      </xdr:nvSpPr>
      <xdr:spPr>
        <a:xfrm>
          <a:off x="2054135" y="2406788"/>
          <a:ext cx="2835535" cy="748061"/>
        </a:xfrm>
        <a:custGeom>
          <a:avLst/>
          <a:gdLst>
            <a:gd name="connsiteX0" fmla="*/ 2824976 w 2824976"/>
            <a:gd name="connsiteY0" fmla="*/ 427464 h 748061"/>
            <a:gd name="connsiteX1" fmla="*/ 2824976 w 2824976"/>
            <a:gd name="connsiteY1" fmla="*/ 0 h 748061"/>
            <a:gd name="connsiteX2" fmla="*/ 1983988 w 2824976"/>
            <a:gd name="connsiteY2" fmla="*/ 0 h 748061"/>
            <a:gd name="connsiteX3" fmla="*/ 1983988 w 2824976"/>
            <a:gd name="connsiteY3" fmla="*/ 748061 h 748061"/>
            <a:gd name="connsiteX4" fmla="*/ 0 w 2824976"/>
            <a:gd name="connsiteY4" fmla="*/ 748061 h 7480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824976" h="748061">
              <a:moveTo>
                <a:pt x="2824976" y="427464"/>
              </a:moveTo>
              <a:lnTo>
                <a:pt x="2824976" y="0"/>
              </a:lnTo>
              <a:lnTo>
                <a:pt x="1983988" y="0"/>
              </a:lnTo>
              <a:lnTo>
                <a:pt x="1983988" y="748061"/>
              </a:lnTo>
              <a:lnTo>
                <a:pt x="0" y="748061"/>
              </a:lnTo>
            </a:path>
          </a:pathLst>
        </a:custGeom>
        <a:noFill/>
        <a:ln w="317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773445</xdr:colOff>
      <xdr:row>5</xdr:row>
      <xdr:rowOff>1375426</xdr:rowOff>
    </xdr:from>
    <xdr:to>
      <xdr:col>3</xdr:col>
      <xdr:colOff>848758</xdr:colOff>
      <xdr:row>5</xdr:row>
      <xdr:rowOff>1447426</xdr:rowOff>
    </xdr:to>
    <xdr:sp macro="" textlink="">
      <xdr:nvSpPr>
        <xdr:cNvPr id="132" name="Овал 131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316495" y="5299726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802856</xdr:colOff>
      <xdr:row>5</xdr:row>
      <xdr:rowOff>100853</xdr:rowOff>
    </xdr:from>
    <xdr:to>
      <xdr:col>3</xdr:col>
      <xdr:colOff>802856</xdr:colOff>
      <xdr:row>5</xdr:row>
      <xdr:rowOff>1429663</xdr:rowOff>
    </xdr:to>
    <xdr:cxnSp macro="">
      <xdr:nvCxnSpPr>
        <xdr:cNvPr id="133" name="Прямая со стрелкой 132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V="1">
          <a:off x="2345906" y="4025153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89647</xdr:colOff>
      <xdr:row>5</xdr:row>
      <xdr:rowOff>760651</xdr:rowOff>
    </xdr:from>
    <xdr:to>
      <xdr:col>3</xdr:col>
      <xdr:colOff>1536637</xdr:colOff>
      <xdr:row>5</xdr:row>
      <xdr:rowOff>760651</xdr:rowOff>
    </xdr:to>
    <xdr:cxnSp macro="">
      <xdr:nvCxnSpPr>
        <xdr:cNvPr id="134" name="Прямая со стрелкой 133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H="1">
          <a:off x="1632697" y="4684951"/>
          <a:ext cx="1446990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869915</xdr:colOff>
      <xdr:row>5</xdr:row>
      <xdr:rowOff>826186</xdr:rowOff>
    </xdr:from>
    <xdr:to>
      <xdr:col>3</xdr:col>
      <xdr:colOff>941915</xdr:colOff>
      <xdr:row>5</xdr:row>
      <xdr:rowOff>898186</xdr:rowOff>
    </xdr:to>
    <xdr:sp macro="" textlink="">
      <xdr:nvSpPr>
        <xdr:cNvPr id="135" name="5-конечная звезда 134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SpPr/>
      </xdr:nvSpPr>
      <xdr:spPr>
        <a:xfrm>
          <a:off x="2412965" y="475048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1085371</xdr:colOff>
      <xdr:row>5</xdr:row>
      <xdr:rowOff>313765</xdr:rowOff>
    </xdr:from>
    <xdr:to>
      <xdr:col>5</xdr:col>
      <xdr:colOff>14826</xdr:colOff>
      <xdr:row>5</xdr:row>
      <xdr:rowOff>1179201</xdr:rowOff>
    </xdr:to>
    <xdr:grpSp>
      <xdr:nvGrpSpPr>
        <xdr:cNvPr id="136" name="Группа 135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4211812" y="4258236"/>
          <a:ext cx="307779" cy="865436"/>
          <a:chOff x="635632" y="15053070"/>
          <a:chExt cx="102554" cy="297657"/>
        </a:xfrm>
      </xdr:grpSpPr>
      <xdr:sp macro="" textlink="">
        <xdr:nvSpPr>
          <xdr:cNvPr id="137" name="Прямоугольник 136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38" name="Овал 137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39" name="Овал 138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0" name="Овал 139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650418</xdr:colOff>
      <xdr:row>6</xdr:row>
      <xdr:rowOff>501336</xdr:rowOff>
    </xdr:from>
    <xdr:to>
      <xdr:col>3</xdr:col>
      <xdr:colOff>1170717</xdr:colOff>
      <xdr:row>6</xdr:row>
      <xdr:rowOff>1021635</xdr:rowOff>
    </xdr:to>
    <xdr:sp macro="" textlink="">
      <xdr:nvSpPr>
        <xdr:cNvPr id="141" name="Овал 140"/>
        <xdr:cNvSpPr/>
      </xdr:nvSpPr>
      <xdr:spPr>
        <a:xfrm rot="4588809">
          <a:off x="2193468" y="5949636"/>
          <a:ext cx="520299" cy="520299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1025684</xdr:colOff>
      <xdr:row>6</xdr:row>
      <xdr:rowOff>83531</xdr:rowOff>
    </xdr:from>
    <xdr:to>
      <xdr:col>3</xdr:col>
      <xdr:colOff>1322031</xdr:colOff>
      <xdr:row>6</xdr:row>
      <xdr:rowOff>1433530</xdr:rowOff>
    </xdr:to>
    <xdr:cxnSp macro="">
      <xdr:nvCxnSpPr>
        <xdr:cNvPr id="142" name="Прямая соединительная линия 141"/>
        <xdr:cNvCxnSpPr/>
      </xdr:nvCxnSpPr>
      <xdr:spPr>
        <a:xfrm rot="4588809" flipH="1" flipV="1">
          <a:off x="2041908" y="6058657"/>
          <a:ext cx="1349999" cy="296347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862511</xdr:colOff>
      <xdr:row>6</xdr:row>
      <xdr:rowOff>40274</xdr:rowOff>
    </xdr:from>
    <xdr:to>
      <xdr:col>3</xdr:col>
      <xdr:colOff>1463231</xdr:colOff>
      <xdr:row>6</xdr:row>
      <xdr:rowOff>705940</xdr:rowOff>
    </xdr:to>
    <xdr:sp macro="" textlink="">
      <xdr:nvSpPr>
        <xdr:cNvPr id="143" name="Полилиния 142"/>
        <xdr:cNvSpPr/>
      </xdr:nvSpPr>
      <xdr:spPr>
        <a:xfrm rot="4588809">
          <a:off x="2373088" y="5521047"/>
          <a:ext cx="665666" cy="600720"/>
        </a:xfrm>
        <a:custGeom>
          <a:avLst/>
          <a:gdLst>
            <a:gd name="connsiteX0" fmla="*/ 625928 w 625928"/>
            <a:gd name="connsiteY0" fmla="*/ 0 h 602852"/>
            <a:gd name="connsiteX1" fmla="*/ 538843 w 625928"/>
            <a:gd name="connsiteY1" fmla="*/ 304800 h 602852"/>
            <a:gd name="connsiteX2" fmla="*/ 375557 w 625928"/>
            <a:gd name="connsiteY2" fmla="*/ 473529 h 602852"/>
            <a:gd name="connsiteX3" fmla="*/ 304800 w 625928"/>
            <a:gd name="connsiteY3" fmla="*/ 598715 h 602852"/>
            <a:gd name="connsiteX4" fmla="*/ 0 w 625928"/>
            <a:gd name="connsiteY4" fmla="*/ 560615 h 602852"/>
            <a:gd name="connsiteX0" fmla="*/ 625928 w 625928"/>
            <a:gd name="connsiteY0" fmla="*/ 0 h 602115"/>
            <a:gd name="connsiteX1" fmla="*/ 538843 w 625928"/>
            <a:gd name="connsiteY1" fmla="*/ 304800 h 602115"/>
            <a:gd name="connsiteX2" fmla="*/ 375557 w 625928"/>
            <a:gd name="connsiteY2" fmla="*/ 473529 h 602115"/>
            <a:gd name="connsiteX3" fmla="*/ 304800 w 625928"/>
            <a:gd name="connsiteY3" fmla="*/ 598715 h 602115"/>
            <a:gd name="connsiteX4" fmla="*/ 0 w 625928"/>
            <a:gd name="connsiteY4" fmla="*/ 560615 h 602115"/>
            <a:gd name="connsiteX0" fmla="*/ 625928 w 625928"/>
            <a:gd name="connsiteY0" fmla="*/ 0 h 603207"/>
            <a:gd name="connsiteX1" fmla="*/ 538843 w 625928"/>
            <a:gd name="connsiteY1" fmla="*/ 304800 h 603207"/>
            <a:gd name="connsiteX2" fmla="*/ 403435 w 625928"/>
            <a:gd name="connsiteY2" fmla="*/ 454944 h 603207"/>
            <a:gd name="connsiteX3" fmla="*/ 304800 w 625928"/>
            <a:gd name="connsiteY3" fmla="*/ 598715 h 603207"/>
            <a:gd name="connsiteX4" fmla="*/ 0 w 625928"/>
            <a:gd name="connsiteY4" fmla="*/ 560615 h 603207"/>
            <a:gd name="connsiteX0" fmla="*/ 630574 w 630574"/>
            <a:gd name="connsiteY0" fmla="*/ 0 h 602040"/>
            <a:gd name="connsiteX1" fmla="*/ 543489 w 630574"/>
            <a:gd name="connsiteY1" fmla="*/ 304800 h 602040"/>
            <a:gd name="connsiteX2" fmla="*/ 408081 w 630574"/>
            <a:gd name="connsiteY2" fmla="*/ 454944 h 602040"/>
            <a:gd name="connsiteX3" fmla="*/ 309446 w 630574"/>
            <a:gd name="connsiteY3" fmla="*/ 598715 h 602040"/>
            <a:gd name="connsiteX4" fmla="*/ 0 w 630574"/>
            <a:gd name="connsiteY4" fmla="*/ 551322 h 602040"/>
            <a:gd name="connsiteX0" fmla="*/ 665666 w 665666"/>
            <a:gd name="connsiteY0" fmla="*/ 0 h 600720"/>
            <a:gd name="connsiteX1" fmla="*/ 578581 w 665666"/>
            <a:gd name="connsiteY1" fmla="*/ 304800 h 600720"/>
            <a:gd name="connsiteX2" fmla="*/ 443173 w 665666"/>
            <a:gd name="connsiteY2" fmla="*/ 454944 h 600720"/>
            <a:gd name="connsiteX3" fmla="*/ 344538 w 665666"/>
            <a:gd name="connsiteY3" fmla="*/ 598715 h 600720"/>
            <a:gd name="connsiteX4" fmla="*/ 0 w 665666"/>
            <a:gd name="connsiteY4" fmla="*/ 536282 h 6007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65666" h="600720">
              <a:moveTo>
                <a:pt x="665666" y="0"/>
              </a:moveTo>
              <a:cubicBezTo>
                <a:pt x="642987" y="112939"/>
                <a:pt x="615663" y="228976"/>
                <a:pt x="578581" y="304800"/>
              </a:cubicBezTo>
              <a:cubicBezTo>
                <a:pt x="541499" y="380624"/>
                <a:pt x="482180" y="405958"/>
                <a:pt x="443173" y="454944"/>
              </a:cubicBezTo>
              <a:cubicBezTo>
                <a:pt x="404166" y="503930"/>
                <a:pt x="418400" y="585159"/>
                <a:pt x="344538" y="598715"/>
              </a:cubicBezTo>
              <a:cubicBezTo>
                <a:pt x="270676" y="612271"/>
                <a:pt x="135042" y="553297"/>
                <a:pt x="0" y="53628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84102</xdr:colOff>
      <xdr:row>6</xdr:row>
      <xdr:rowOff>219766</xdr:rowOff>
    </xdr:from>
    <xdr:to>
      <xdr:col>3</xdr:col>
      <xdr:colOff>828180</xdr:colOff>
      <xdr:row>6</xdr:row>
      <xdr:rowOff>789713</xdr:rowOff>
    </xdr:to>
    <xdr:sp macro="" textlink="">
      <xdr:nvSpPr>
        <xdr:cNvPr id="144" name="Полилиния 143"/>
        <xdr:cNvSpPr/>
      </xdr:nvSpPr>
      <xdr:spPr>
        <a:xfrm rot="4588809">
          <a:off x="1714217" y="5581001"/>
          <a:ext cx="569947" cy="744078"/>
        </a:xfrm>
        <a:custGeom>
          <a:avLst/>
          <a:gdLst>
            <a:gd name="connsiteX0" fmla="*/ 0 w 496155"/>
            <a:gd name="connsiteY0" fmla="*/ 0 h 734785"/>
            <a:gd name="connsiteX1" fmla="*/ 310243 w 496155"/>
            <a:gd name="connsiteY1" fmla="*/ 65314 h 734785"/>
            <a:gd name="connsiteX2" fmla="*/ 468085 w 496155"/>
            <a:gd name="connsiteY2" fmla="*/ 223157 h 734785"/>
            <a:gd name="connsiteX3" fmla="*/ 495300 w 496155"/>
            <a:gd name="connsiteY3" fmla="*/ 734785 h 734785"/>
            <a:gd name="connsiteX0" fmla="*/ 0 w 497470"/>
            <a:gd name="connsiteY0" fmla="*/ 0 h 734785"/>
            <a:gd name="connsiteX1" fmla="*/ 268426 w 497470"/>
            <a:gd name="connsiteY1" fmla="*/ 56022 h 734785"/>
            <a:gd name="connsiteX2" fmla="*/ 468085 w 497470"/>
            <a:gd name="connsiteY2" fmla="*/ 223157 h 734785"/>
            <a:gd name="connsiteX3" fmla="*/ 495300 w 497470"/>
            <a:gd name="connsiteY3" fmla="*/ 734785 h 734785"/>
            <a:gd name="connsiteX0" fmla="*/ 0 w 501198"/>
            <a:gd name="connsiteY0" fmla="*/ 0 h 734785"/>
            <a:gd name="connsiteX1" fmla="*/ 268426 w 501198"/>
            <a:gd name="connsiteY1" fmla="*/ 56022 h 734785"/>
            <a:gd name="connsiteX2" fmla="*/ 477378 w 501198"/>
            <a:gd name="connsiteY2" fmla="*/ 274267 h 734785"/>
            <a:gd name="connsiteX3" fmla="*/ 495300 w 501198"/>
            <a:gd name="connsiteY3" fmla="*/ 734785 h 734785"/>
            <a:gd name="connsiteX0" fmla="*/ 0 w 523483"/>
            <a:gd name="connsiteY0" fmla="*/ 0 h 720846"/>
            <a:gd name="connsiteX1" fmla="*/ 268426 w 523483"/>
            <a:gd name="connsiteY1" fmla="*/ 56022 h 720846"/>
            <a:gd name="connsiteX2" fmla="*/ 477378 w 523483"/>
            <a:gd name="connsiteY2" fmla="*/ 274267 h 720846"/>
            <a:gd name="connsiteX3" fmla="*/ 523178 w 523483"/>
            <a:gd name="connsiteY3" fmla="*/ 720846 h 720846"/>
            <a:gd name="connsiteX0" fmla="*/ 0 w 523483"/>
            <a:gd name="connsiteY0" fmla="*/ 0 h 720846"/>
            <a:gd name="connsiteX1" fmla="*/ 268426 w 523483"/>
            <a:gd name="connsiteY1" fmla="*/ 74608 h 720846"/>
            <a:gd name="connsiteX2" fmla="*/ 477378 w 523483"/>
            <a:gd name="connsiteY2" fmla="*/ 274267 h 720846"/>
            <a:gd name="connsiteX3" fmla="*/ 523178 w 523483"/>
            <a:gd name="connsiteY3" fmla="*/ 720846 h 720846"/>
            <a:gd name="connsiteX0" fmla="*/ 0 w 523483"/>
            <a:gd name="connsiteY0" fmla="*/ 0 h 720846"/>
            <a:gd name="connsiteX1" fmla="*/ 268426 w 523483"/>
            <a:gd name="connsiteY1" fmla="*/ 74608 h 720846"/>
            <a:gd name="connsiteX2" fmla="*/ 477378 w 523483"/>
            <a:gd name="connsiteY2" fmla="*/ 274267 h 720846"/>
            <a:gd name="connsiteX3" fmla="*/ 523178 w 523483"/>
            <a:gd name="connsiteY3" fmla="*/ 720846 h 720846"/>
            <a:gd name="connsiteX0" fmla="*/ 0 w 569947"/>
            <a:gd name="connsiteY0" fmla="*/ 0 h 744078"/>
            <a:gd name="connsiteX1" fmla="*/ 314890 w 569947"/>
            <a:gd name="connsiteY1" fmla="*/ 97840 h 744078"/>
            <a:gd name="connsiteX2" fmla="*/ 523842 w 569947"/>
            <a:gd name="connsiteY2" fmla="*/ 297499 h 744078"/>
            <a:gd name="connsiteX3" fmla="*/ 569642 w 569947"/>
            <a:gd name="connsiteY3" fmla="*/ 744078 h 7440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69947" h="744078">
              <a:moveTo>
                <a:pt x="0" y="0"/>
              </a:moveTo>
              <a:cubicBezTo>
                <a:pt x="176517" y="41938"/>
                <a:pt x="227583" y="48257"/>
                <a:pt x="314890" y="97840"/>
              </a:cubicBezTo>
              <a:cubicBezTo>
                <a:pt x="402197" y="147423"/>
                <a:pt x="481383" y="189793"/>
                <a:pt x="523842" y="297499"/>
              </a:cubicBezTo>
              <a:cubicBezTo>
                <a:pt x="566301" y="405205"/>
                <a:pt x="571456" y="544053"/>
                <a:pt x="569642" y="74407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235171</xdr:colOff>
      <xdr:row>6</xdr:row>
      <xdr:rowOff>876513</xdr:rowOff>
    </xdr:from>
    <xdr:to>
      <xdr:col>3</xdr:col>
      <xdr:colOff>1136295</xdr:colOff>
      <xdr:row>6</xdr:row>
      <xdr:rowOff>1330059</xdr:rowOff>
    </xdr:to>
    <xdr:sp macro="" textlink="">
      <xdr:nvSpPr>
        <xdr:cNvPr id="145" name="Полилиния 144"/>
        <xdr:cNvSpPr/>
      </xdr:nvSpPr>
      <xdr:spPr>
        <a:xfrm rot="4588809">
          <a:off x="2002010" y="6101024"/>
          <a:ext cx="453546" cy="901124"/>
        </a:xfrm>
        <a:custGeom>
          <a:avLst/>
          <a:gdLst>
            <a:gd name="connsiteX0" fmla="*/ 2057 w 426599"/>
            <a:gd name="connsiteY0" fmla="*/ 887185 h 887185"/>
            <a:gd name="connsiteX1" fmla="*/ 12942 w 426599"/>
            <a:gd name="connsiteY1" fmla="*/ 533400 h 887185"/>
            <a:gd name="connsiteX2" fmla="*/ 100028 w 426599"/>
            <a:gd name="connsiteY2" fmla="*/ 370114 h 887185"/>
            <a:gd name="connsiteX3" fmla="*/ 197999 w 426599"/>
            <a:gd name="connsiteY3" fmla="*/ 261257 h 887185"/>
            <a:gd name="connsiteX4" fmla="*/ 241542 w 426599"/>
            <a:gd name="connsiteY4" fmla="*/ 97971 h 887185"/>
            <a:gd name="connsiteX5" fmla="*/ 350399 w 426599"/>
            <a:gd name="connsiteY5" fmla="*/ 21771 h 887185"/>
            <a:gd name="connsiteX6" fmla="*/ 426599 w 426599"/>
            <a:gd name="connsiteY6" fmla="*/ 0 h 887185"/>
            <a:gd name="connsiteX0" fmla="*/ 2057 w 426599"/>
            <a:gd name="connsiteY0" fmla="*/ 887185 h 887185"/>
            <a:gd name="connsiteX1" fmla="*/ 12942 w 426599"/>
            <a:gd name="connsiteY1" fmla="*/ 533400 h 887185"/>
            <a:gd name="connsiteX2" fmla="*/ 100028 w 426599"/>
            <a:gd name="connsiteY2" fmla="*/ 370114 h 887185"/>
            <a:gd name="connsiteX3" fmla="*/ 193353 w 426599"/>
            <a:gd name="connsiteY3" fmla="*/ 242671 h 887185"/>
            <a:gd name="connsiteX4" fmla="*/ 241542 w 426599"/>
            <a:gd name="connsiteY4" fmla="*/ 97971 h 887185"/>
            <a:gd name="connsiteX5" fmla="*/ 350399 w 426599"/>
            <a:gd name="connsiteY5" fmla="*/ 21771 h 887185"/>
            <a:gd name="connsiteX6" fmla="*/ 426599 w 426599"/>
            <a:gd name="connsiteY6" fmla="*/ 0 h 887185"/>
            <a:gd name="connsiteX0" fmla="*/ 2057 w 449831"/>
            <a:gd name="connsiteY0" fmla="*/ 887185 h 887185"/>
            <a:gd name="connsiteX1" fmla="*/ 12942 w 449831"/>
            <a:gd name="connsiteY1" fmla="*/ 533400 h 887185"/>
            <a:gd name="connsiteX2" fmla="*/ 100028 w 449831"/>
            <a:gd name="connsiteY2" fmla="*/ 370114 h 887185"/>
            <a:gd name="connsiteX3" fmla="*/ 193353 w 449831"/>
            <a:gd name="connsiteY3" fmla="*/ 242671 h 887185"/>
            <a:gd name="connsiteX4" fmla="*/ 241542 w 449831"/>
            <a:gd name="connsiteY4" fmla="*/ 97971 h 887185"/>
            <a:gd name="connsiteX5" fmla="*/ 350399 w 449831"/>
            <a:gd name="connsiteY5" fmla="*/ 21771 h 887185"/>
            <a:gd name="connsiteX6" fmla="*/ 449831 w 449831"/>
            <a:gd name="connsiteY6" fmla="*/ 0 h 887185"/>
            <a:gd name="connsiteX0" fmla="*/ 1126 w 453546"/>
            <a:gd name="connsiteY0" fmla="*/ 901124 h 901124"/>
            <a:gd name="connsiteX1" fmla="*/ 16657 w 453546"/>
            <a:gd name="connsiteY1" fmla="*/ 533400 h 901124"/>
            <a:gd name="connsiteX2" fmla="*/ 103743 w 453546"/>
            <a:gd name="connsiteY2" fmla="*/ 370114 h 901124"/>
            <a:gd name="connsiteX3" fmla="*/ 197068 w 453546"/>
            <a:gd name="connsiteY3" fmla="*/ 242671 h 901124"/>
            <a:gd name="connsiteX4" fmla="*/ 245257 w 453546"/>
            <a:gd name="connsiteY4" fmla="*/ 97971 h 901124"/>
            <a:gd name="connsiteX5" fmla="*/ 354114 w 453546"/>
            <a:gd name="connsiteY5" fmla="*/ 21771 h 901124"/>
            <a:gd name="connsiteX6" fmla="*/ 453546 w 453546"/>
            <a:gd name="connsiteY6" fmla="*/ 0 h 9011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53546" h="901124">
              <a:moveTo>
                <a:pt x="1126" y="901124"/>
              </a:moveTo>
              <a:cubicBezTo>
                <a:pt x="-1596" y="767320"/>
                <a:pt x="-446" y="621902"/>
                <a:pt x="16657" y="533400"/>
              </a:cubicBezTo>
              <a:cubicBezTo>
                <a:pt x="33760" y="444898"/>
                <a:pt x="73675" y="418569"/>
                <a:pt x="103743" y="370114"/>
              </a:cubicBezTo>
              <a:cubicBezTo>
                <a:pt x="133811" y="321659"/>
                <a:pt x="173482" y="288028"/>
                <a:pt x="197068" y="242671"/>
              </a:cubicBezTo>
              <a:cubicBezTo>
                <a:pt x="220654" y="197314"/>
                <a:pt x="219083" y="134788"/>
                <a:pt x="245257" y="97971"/>
              </a:cubicBezTo>
              <a:cubicBezTo>
                <a:pt x="271431" y="61154"/>
                <a:pt x="319399" y="38100"/>
                <a:pt x="354114" y="21771"/>
              </a:cubicBezTo>
              <a:cubicBezTo>
                <a:pt x="388829" y="5443"/>
                <a:pt x="430867" y="2721"/>
                <a:pt x="45354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1025656</xdr:colOff>
      <xdr:row>6</xdr:row>
      <xdr:rowOff>881759</xdr:rowOff>
    </xdr:from>
    <xdr:to>
      <xdr:col>3</xdr:col>
      <xdr:colOff>1533302</xdr:colOff>
      <xdr:row>6</xdr:row>
      <xdr:rowOff>941657</xdr:rowOff>
    </xdr:to>
    <xdr:sp macro="" textlink="">
      <xdr:nvSpPr>
        <xdr:cNvPr id="146" name="Полилиния 145"/>
        <xdr:cNvSpPr/>
      </xdr:nvSpPr>
      <xdr:spPr>
        <a:xfrm rot="4588809">
          <a:off x="2792580" y="6106185"/>
          <a:ext cx="59898" cy="507646"/>
        </a:xfrm>
        <a:custGeom>
          <a:avLst/>
          <a:gdLst>
            <a:gd name="connsiteX0" fmla="*/ 59962 w 59962"/>
            <a:gd name="connsiteY0" fmla="*/ 0 h 484414"/>
            <a:gd name="connsiteX1" fmla="*/ 91 w 59962"/>
            <a:gd name="connsiteY1" fmla="*/ 321128 h 484414"/>
            <a:gd name="connsiteX2" fmla="*/ 49076 w 59962"/>
            <a:gd name="connsiteY2" fmla="*/ 484414 h 484414"/>
            <a:gd name="connsiteX0" fmla="*/ 59898 w 59898"/>
            <a:gd name="connsiteY0" fmla="*/ 0 h 507646"/>
            <a:gd name="connsiteX1" fmla="*/ 27 w 59898"/>
            <a:gd name="connsiteY1" fmla="*/ 321128 h 507646"/>
            <a:gd name="connsiteX2" fmla="*/ 53658 w 59898"/>
            <a:gd name="connsiteY2" fmla="*/ 507646 h 5076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898" h="507646">
              <a:moveTo>
                <a:pt x="59898" y="0"/>
              </a:moveTo>
              <a:cubicBezTo>
                <a:pt x="30869" y="120196"/>
                <a:pt x="1067" y="236520"/>
                <a:pt x="27" y="321128"/>
              </a:cubicBezTo>
              <a:cubicBezTo>
                <a:pt x="-1013" y="405736"/>
                <a:pt x="28258" y="466371"/>
                <a:pt x="53658" y="507646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999434</xdr:colOff>
      <xdr:row>6</xdr:row>
      <xdr:rowOff>361567</xdr:rowOff>
    </xdr:from>
    <xdr:to>
      <xdr:col>3</xdr:col>
      <xdr:colOff>1179049</xdr:colOff>
      <xdr:row>6</xdr:row>
      <xdr:rowOff>492195</xdr:rowOff>
    </xdr:to>
    <xdr:sp macro="" textlink="">
      <xdr:nvSpPr>
        <xdr:cNvPr id="147" name="Полилиния 146"/>
        <xdr:cNvSpPr/>
      </xdr:nvSpPr>
      <xdr:spPr>
        <a:xfrm rot="4588809">
          <a:off x="2566978" y="5785373"/>
          <a:ext cx="130628" cy="179615"/>
        </a:xfrm>
        <a:custGeom>
          <a:avLst/>
          <a:gdLst>
            <a:gd name="connsiteX0" fmla="*/ 0 w 130628"/>
            <a:gd name="connsiteY0" fmla="*/ 0 h 179615"/>
            <a:gd name="connsiteX1" fmla="*/ 97971 w 130628"/>
            <a:gd name="connsiteY1" fmla="*/ 54429 h 179615"/>
            <a:gd name="connsiteX2" fmla="*/ 130628 w 130628"/>
            <a:gd name="connsiteY2" fmla="*/ 179615 h 1796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0628" h="179615">
              <a:moveTo>
                <a:pt x="0" y="0"/>
              </a:moveTo>
              <a:cubicBezTo>
                <a:pt x="38100" y="12246"/>
                <a:pt x="76200" y="24493"/>
                <a:pt x="97971" y="54429"/>
              </a:cubicBezTo>
              <a:cubicBezTo>
                <a:pt x="119742" y="84365"/>
                <a:pt x="125185" y="131990"/>
                <a:pt x="130628" y="179615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1155153</xdr:colOff>
      <xdr:row>6</xdr:row>
      <xdr:rowOff>1388313</xdr:rowOff>
    </xdr:from>
    <xdr:to>
      <xdr:col>3</xdr:col>
      <xdr:colOff>1227153</xdr:colOff>
      <xdr:row>6</xdr:row>
      <xdr:rowOff>1463626</xdr:rowOff>
    </xdr:to>
    <xdr:sp macro="" textlink="">
      <xdr:nvSpPr>
        <xdr:cNvPr id="148" name="Овал 147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 rot="4588809">
          <a:off x="2696546" y="683827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820734</xdr:colOff>
      <xdr:row>6</xdr:row>
      <xdr:rowOff>971436</xdr:rowOff>
    </xdr:from>
    <xdr:to>
      <xdr:col>3</xdr:col>
      <xdr:colOff>906130</xdr:colOff>
      <xdr:row>6</xdr:row>
      <xdr:rowOff>1056832</xdr:rowOff>
    </xdr:to>
    <xdr:sp macro="" textlink="">
      <xdr:nvSpPr>
        <xdr:cNvPr id="149" name="Прямоугольник 148"/>
        <xdr:cNvSpPr/>
      </xdr:nvSpPr>
      <xdr:spPr>
        <a:xfrm rot="2400000">
          <a:off x="2363784" y="6419736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3</xdr:col>
      <xdr:colOff>650417</xdr:colOff>
      <xdr:row>7</xdr:row>
      <xdr:rowOff>534953</xdr:rowOff>
    </xdr:from>
    <xdr:to>
      <xdr:col>3</xdr:col>
      <xdr:colOff>1170716</xdr:colOff>
      <xdr:row>7</xdr:row>
      <xdr:rowOff>1055252</xdr:rowOff>
    </xdr:to>
    <xdr:sp macro="" textlink="">
      <xdr:nvSpPr>
        <xdr:cNvPr id="150" name="Овал 149"/>
        <xdr:cNvSpPr/>
      </xdr:nvSpPr>
      <xdr:spPr>
        <a:xfrm rot="4588809">
          <a:off x="2193467" y="7507253"/>
          <a:ext cx="520299" cy="520299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1361191</xdr:colOff>
      <xdr:row>7</xdr:row>
      <xdr:rowOff>1396363</xdr:rowOff>
    </xdr:from>
    <xdr:to>
      <xdr:col>3</xdr:col>
      <xdr:colOff>1433191</xdr:colOff>
      <xdr:row>7</xdr:row>
      <xdr:rowOff>1471676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 rot="4588809">
          <a:off x="2902584" y="837032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160419</xdr:colOff>
      <xdr:row>7</xdr:row>
      <xdr:rowOff>556461</xdr:rowOff>
    </xdr:from>
    <xdr:to>
      <xdr:col>3</xdr:col>
      <xdr:colOff>767011</xdr:colOff>
      <xdr:row>7</xdr:row>
      <xdr:rowOff>1453816</xdr:rowOff>
    </xdr:to>
    <xdr:sp macro="" textlink="">
      <xdr:nvSpPr>
        <xdr:cNvPr id="152" name="Полилиния 151"/>
        <xdr:cNvSpPr/>
      </xdr:nvSpPr>
      <xdr:spPr>
        <a:xfrm>
          <a:off x="1703469" y="7528761"/>
          <a:ext cx="606592" cy="897355"/>
        </a:xfrm>
        <a:custGeom>
          <a:avLst/>
          <a:gdLst>
            <a:gd name="connsiteX0" fmla="*/ 0 w 606592"/>
            <a:gd name="connsiteY0" fmla="*/ 0 h 897355"/>
            <a:gd name="connsiteX1" fmla="*/ 406066 w 606592"/>
            <a:gd name="connsiteY1" fmla="*/ 225592 h 897355"/>
            <a:gd name="connsiteX2" fmla="*/ 571500 w 606592"/>
            <a:gd name="connsiteY2" fmla="*/ 486276 h 897355"/>
            <a:gd name="connsiteX3" fmla="*/ 606592 w 606592"/>
            <a:gd name="connsiteY3" fmla="*/ 897355 h 8973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06592" h="897355">
              <a:moveTo>
                <a:pt x="0" y="0"/>
              </a:moveTo>
              <a:cubicBezTo>
                <a:pt x="155408" y="72273"/>
                <a:pt x="310816" y="144546"/>
                <a:pt x="406066" y="225592"/>
              </a:cubicBezTo>
              <a:cubicBezTo>
                <a:pt x="501316" y="306638"/>
                <a:pt x="538079" y="374316"/>
                <a:pt x="571500" y="486276"/>
              </a:cubicBezTo>
              <a:cubicBezTo>
                <a:pt x="604921" y="598236"/>
                <a:pt x="605756" y="747795"/>
                <a:pt x="606592" y="897355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832184</xdr:colOff>
      <xdr:row>7</xdr:row>
      <xdr:rowOff>800715</xdr:rowOff>
    </xdr:from>
    <xdr:to>
      <xdr:col>3</xdr:col>
      <xdr:colOff>1478881</xdr:colOff>
      <xdr:row>7</xdr:row>
      <xdr:rowOff>1408697</xdr:rowOff>
    </xdr:to>
    <xdr:sp macro="" textlink="">
      <xdr:nvSpPr>
        <xdr:cNvPr id="153" name="Полилиния 152"/>
        <xdr:cNvSpPr/>
      </xdr:nvSpPr>
      <xdr:spPr>
        <a:xfrm>
          <a:off x="2375234" y="7773015"/>
          <a:ext cx="646697" cy="607982"/>
        </a:xfrm>
        <a:custGeom>
          <a:avLst/>
          <a:gdLst>
            <a:gd name="connsiteX0" fmla="*/ 0 w 646697"/>
            <a:gd name="connsiteY0" fmla="*/ 607982 h 607982"/>
            <a:gd name="connsiteX1" fmla="*/ 100263 w 646697"/>
            <a:gd name="connsiteY1" fmla="*/ 347298 h 607982"/>
            <a:gd name="connsiteX2" fmla="*/ 260684 w 646697"/>
            <a:gd name="connsiteY2" fmla="*/ 181864 h 607982"/>
            <a:gd name="connsiteX3" fmla="*/ 521368 w 646697"/>
            <a:gd name="connsiteY3" fmla="*/ 26456 h 607982"/>
            <a:gd name="connsiteX4" fmla="*/ 646697 w 646697"/>
            <a:gd name="connsiteY4" fmla="*/ 1390 h 6079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46697" h="607982">
              <a:moveTo>
                <a:pt x="0" y="607982"/>
              </a:moveTo>
              <a:cubicBezTo>
                <a:pt x="28408" y="513150"/>
                <a:pt x="56816" y="418318"/>
                <a:pt x="100263" y="347298"/>
              </a:cubicBezTo>
              <a:cubicBezTo>
                <a:pt x="143710" y="276278"/>
                <a:pt x="190500" y="235338"/>
                <a:pt x="260684" y="181864"/>
              </a:cubicBezTo>
              <a:cubicBezTo>
                <a:pt x="330868" y="128390"/>
                <a:pt x="457033" y="56535"/>
                <a:pt x="521368" y="26456"/>
              </a:cubicBezTo>
              <a:cubicBezTo>
                <a:pt x="585704" y="-3623"/>
                <a:pt x="616200" y="-1117"/>
                <a:pt x="646697" y="139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867276</xdr:colOff>
      <xdr:row>7</xdr:row>
      <xdr:rowOff>1057776</xdr:rowOff>
    </xdr:from>
    <xdr:to>
      <xdr:col>3</xdr:col>
      <xdr:colOff>1398671</xdr:colOff>
      <xdr:row>7</xdr:row>
      <xdr:rowOff>1443789</xdr:rowOff>
    </xdr:to>
    <xdr:sp macro="" textlink="">
      <xdr:nvSpPr>
        <xdr:cNvPr id="154" name="Полилиния 153"/>
        <xdr:cNvSpPr/>
      </xdr:nvSpPr>
      <xdr:spPr>
        <a:xfrm>
          <a:off x="2410326" y="8030076"/>
          <a:ext cx="531395" cy="386013"/>
        </a:xfrm>
        <a:custGeom>
          <a:avLst/>
          <a:gdLst>
            <a:gd name="connsiteX0" fmla="*/ 0 w 531395"/>
            <a:gd name="connsiteY0" fmla="*/ 0 h 386013"/>
            <a:gd name="connsiteX1" fmla="*/ 280737 w 531395"/>
            <a:gd name="connsiteY1" fmla="*/ 90237 h 386013"/>
            <a:gd name="connsiteX2" fmla="*/ 481263 w 531395"/>
            <a:gd name="connsiteY2" fmla="*/ 245645 h 386013"/>
            <a:gd name="connsiteX3" fmla="*/ 531395 w 531395"/>
            <a:gd name="connsiteY3" fmla="*/ 386013 h 3860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31395" h="386013">
              <a:moveTo>
                <a:pt x="0" y="0"/>
              </a:moveTo>
              <a:cubicBezTo>
                <a:pt x="100263" y="24648"/>
                <a:pt x="200526" y="49296"/>
                <a:pt x="280737" y="90237"/>
              </a:cubicBezTo>
              <a:cubicBezTo>
                <a:pt x="360948" y="131178"/>
                <a:pt x="439487" y="196349"/>
                <a:pt x="481263" y="245645"/>
              </a:cubicBezTo>
              <a:cubicBezTo>
                <a:pt x="523039" y="294941"/>
                <a:pt x="527217" y="340477"/>
                <a:pt x="531395" y="386013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896197</xdr:colOff>
      <xdr:row>7</xdr:row>
      <xdr:rowOff>50517</xdr:rowOff>
    </xdr:from>
    <xdr:to>
      <xdr:col>3</xdr:col>
      <xdr:colOff>1371291</xdr:colOff>
      <xdr:row>7</xdr:row>
      <xdr:rowOff>1336199</xdr:rowOff>
    </xdr:to>
    <xdr:sp macro="" textlink="">
      <xdr:nvSpPr>
        <xdr:cNvPr id="155" name="Полилиния 154"/>
        <xdr:cNvSpPr/>
      </xdr:nvSpPr>
      <xdr:spPr>
        <a:xfrm>
          <a:off x="2439247" y="7022817"/>
          <a:ext cx="475094" cy="1285682"/>
        </a:xfrm>
        <a:custGeom>
          <a:avLst/>
          <a:gdLst>
            <a:gd name="connsiteX0" fmla="*/ 0 w 526382"/>
            <a:gd name="connsiteY0" fmla="*/ 0 h 1278355"/>
            <a:gd name="connsiteX1" fmla="*/ 165435 w 526382"/>
            <a:gd name="connsiteY1" fmla="*/ 426118 h 1278355"/>
            <a:gd name="connsiteX2" fmla="*/ 315829 w 526382"/>
            <a:gd name="connsiteY2" fmla="*/ 626645 h 1278355"/>
            <a:gd name="connsiteX3" fmla="*/ 416093 w 526382"/>
            <a:gd name="connsiteY3" fmla="*/ 957513 h 1278355"/>
            <a:gd name="connsiteX4" fmla="*/ 526382 w 526382"/>
            <a:gd name="connsiteY4" fmla="*/ 1278355 h 1278355"/>
            <a:gd name="connsiteX0" fmla="*/ 0 w 475094"/>
            <a:gd name="connsiteY0" fmla="*/ 0 h 1285682"/>
            <a:gd name="connsiteX1" fmla="*/ 114147 w 475094"/>
            <a:gd name="connsiteY1" fmla="*/ 433445 h 1285682"/>
            <a:gd name="connsiteX2" fmla="*/ 264541 w 475094"/>
            <a:gd name="connsiteY2" fmla="*/ 633972 h 1285682"/>
            <a:gd name="connsiteX3" fmla="*/ 364805 w 475094"/>
            <a:gd name="connsiteY3" fmla="*/ 964840 h 1285682"/>
            <a:gd name="connsiteX4" fmla="*/ 475094 w 475094"/>
            <a:gd name="connsiteY4" fmla="*/ 1285682 h 1285682"/>
            <a:gd name="connsiteX0" fmla="*/ 0 w 475094"/>
            <a:gd name="connsiteY0" fmla="*/ 0 h 1285682"/>
            <a:gd name="connsiteX1" fmla="*/ 114147 w 475094"/>
            <a:gd name="connsiteY1" fmla="*/ 433445 h 1285682"/>
            <a:gd name="connsiteX2" fmla="*/ 264541 w 475094"/>
            <a:gd name="connsiteY2" fmla="*/ 633972 h 1285682"/>
            <a:gd name="connsiteX3" fmla="*/ 364805 w 475094"/>
            <a:gd name="connsiteY3" fmla="*/ 964840 h 1285682"/>
            <a:gd name="connsiteX4" fmla="*/ 475094 w 475094"/>
            <a:gd name="connsiteY4" fmla="*/ 1285682 h 12856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75094" h="1285682">
              <a:moveTo>
                <a:pt x="0" y="0"/>
              </a:moveTo>
              <a:cubicBezTo>
                <a:pt x="12436" y="278069"/>
                <a:pt x="70057" y="327783"/>
                <a:pt x="114147" y="433445"/>
              </a:cubicBezTo>
              <a:cubicBezTo>
                <a:pt x="158237" y="539107"/>
                <a:pt x="222765" y="545406"/>
                <a:pt x="264541" y="633972"/>
              </a:cubicBezTo>
              <a:cubicBezTo>
                <a:pt x="306317" y="722538"/>
                <a:pt x="329713" y="856222"/>
                <a:pt x="364805" y="964840"/>
              </a:cubicBezTo>
              <a:cubicBezTo>
                <a:pt x="399897" y="1073458"/>
                <a:pt x="437495" y="1179570"/>
                <a:pt x="475094" y="1285682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1107908</xdr:colOff>
      <xdr:row>7</xdr:row>
      <xdr:rowOff>631658</xdr:rowOff>
    </xdr:from>
    <xdr:to>
      <xdr:col>3</xdr:col>
      <xdr:colOff>1473868</xdr:colOff>
      <xdr:row>7</xdr:row>
      <xdr:rowOff>792079</xdr:rowOff>
    </xdr:to>
    <xdr:sp macro="" textlink="">
      <xdr:nvSpPr>
        <xdr:cNvPr id="156" name="Полилиния 155"/>
        <xdr:cNvSpPr/>
      </xdr:nvSpPr>
      <xdr:spPr>
        <a:xfrm>
          <a:off x="2650958" y="7603958"/>
          <a:ext cx="365960" cy="160421"/>
        </a:xfrm>
        <a:custGeom>
          <a:avLst/>
          <a:gdLst>
            <a:gd name="connsiteX0" fmla="*/ 365960 w 365960"/>
            <a:gd name="connsiteY0" fmla="*/ 160421 h 160421"/>
            <a:gd name="connsiteX1" fmla="*/ 140368 w 365960"/>
            <a:gd name="connsiteY1" fmla="*/ 100263 h 160421"/>
            <a:gd name="connsiteX2" fmla="*/ 0 w 365960"/>
            <a:gd name="connsiteY2" fmla="*/ 0 h 1604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65960" h="160421">
              <a:moveTo>
                <a:pt x="365960" y="160421"/>
              </a:moveTo>
              <a:cubicBezTo>
                <a:pt x="283660" y="143710"/>
                <a:pt x="201361" y="127000"/>
                <a:pt x="140368" y="100263"/>
              </a:cubicBezTo>
              <a:cubicBezTo>
                <a:pt x="79375" y="73526"/>
                <a:pt x="39687" y="36763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436144</xdr:colOff>
      <xdr:row>7</xdr:row>
      <xdr:rowOff>646697</xdr:rowOff>
    </xdr:from>
    <xdr:to>
      <xdr:col>3</xdr:col>
      <xdr:colOff>686802</xdr:colOff>
      <xdr:row>7</xdr:row>
      <xdr:rowOff>728450</xdr:rowOff>
    </xdr:to>
    <xdr:sp macro="" textlink="">
      <xdr:nvSpPr>
        <xdr:cNvPr id="157" name="Полилиния 156"/>
        <xdr:cNvSpPr/>
      </xdr:nvSpPr>
      <xdr:spPr>
        <a:xfrm>
          <a:off x="1979194" y="7618997"/>
          <a:ext cx="250658" cy="81753"/>
        </a:xfrm>
        <a:custGeom>
          <a:avLst/>
          <a:gdLst>
            <a:gd name="connsiteX0" fmla="*/ 250658 w 250658"/>
            <a:gd name="connsiteY0" fmla="*/ 0 h 81753"/>
            <a:gd name="connsiteX1" fmla="*/ 185487 w 250658"/>
            <a:gd name="connsiteY1" fmla="*/ 80211 h 81753"/>
            <a:gd name="connsiteX2" fmla="*/ 0 w 250658"/>
            <a:gd name="connsiteY2" fmla="*/ 45119 h 817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0658" h="81753">
              <a:moveTo>
                <a:pt x="250658" y="0"/>
              </a:moveTo>
              <a:cubicBezTo>
                <a:pt x="238960" y="36345"/>
                <a:pt x="227263" y="72691"/>
                <a:pt x="185487" y="80211"/>
              </a:cubicBezTo>
              <a:cubicBezTo>
                <a:pt x="143711" y="87731"/>
                <a:pt x="71855" y="66425"/>
                <a:pt x="0" y="45119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798369</xdr:colOff>
      <xdr:row>7</xdr:row>
      <xdr:rowOff>1006209</xdr:rowOff>
    </xdr:from>
    <xdr:to>
      <xdr:col>3</xdr:col>
      <xdr:colOff>883765</xdr:colOff>
      <xdr:row>7</xdr:row>
      <xdr:rowOff>1091605</xdr:rowOff>
    </xdr:to>
    <xdr:sp macro="" textlink="">
      <xdr:nvSpPr>
        <xdr:cNvPr id="158" name="Прямоугольник 157"/>
        <xdr:cNvSpPr/>
      </xdr:nvSpPr>
      <xdr:spPr>
        <a:xfrm rot="2400000">
          <a:off x="2341419" y="7978509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3</xdr:col>
      <xdr:colOff>659423</xdr:colOff>
      <xdr:row>7</xdr:row>
      <xdr:rowOff>161192</xdr:rowOff>
    </xdr:from>
    <xdr:to>
      <xdr:col>3</xdr:col>
      <xdr:colOff>904582</xdr:colOff>
      <xdr:row>7</xdr:row>
      <xdr:rowOff>688730</xdr:rowOff>
    </xdr:to>
    <xdr:sp macro="" textlink="">
      <xdr:nvSpPr>
        <xdr:cNvPr id="159" name="Полилиния 158"/>
        <xdr:cNvSpPr/>
      </xdr:nvSpPr>
      <xdr:spPr>
        <a:xfrm>
          <a:off x="2202473" y="7133492"/>
          <a:ext cx="245159" cy="527538"/>
        </a:xfrm>
        <a:custGeom>
          <a:avLst/>
          <a:gdLst>
            <a:gd name="connsiteX0" fmla="*/ 0 w 245159"/>
            <a:gd name="connsiteY0" fmla="*/ 527538 h 527538"/>
            <a:gd name="connsiteX1" fmla="*/ 102577 w 245159"/>
            <a:gd name="connsiteY1" fmla="*/ 395654 h 527538"/>
            <a:gd name="connsiteX2" fmla="*/ 227134 w 245159"/>
            <a:gd name="connsiteY2" fmla="*/ 183173 h 527538"/>
            <a:gd name="connsiteX3" fmla="*/ 241788 w 245159"/>
            <a:gd name="connsiteY3" fmla="*/ 0 h 5275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5159" h="527538">
              <a:moveTo>
                <a:pt x="0" y="527538"/>
              </a:moveTo>
              <a:cubicBezTo>
                <a:pt x="32360" y="490293"/>
                <a:pt x="64721" y="453048"/>
                <a:pt x="102577" y="395654"/>
              </a:cubicBezTo>
              <a:cubicBezTo>
                <a:pt x="140433" y="338260"/>
                <a:pt x="203932" y="249115"/>
                <a:pt x="227134" y="183173"/>
              </a:cubicBezTo>
              <a:cubicBezTo>
                <a:pt x="250336" y="117231"/>
                <a:pt x="246062" y="58615"/>
                <a:pt x="24178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548575</xdr:colOff>
      <xdr:row>4</xdr:row>
      <xdr:rowOff>644604</xdr:rowOff>
    </xdr:from>
    <xdr:to>
      <xdr:col>3</xdr:col>
      <xdr:colOff>1171114</xdr:colOff>
      <xdr:row>4</xdr:row>
      <xdr:rowOff>1254257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1625" y="1520904"/>
          <a:ext cx="622539" cy="609653"/>
        </a:xfrm>
        <a:prstGeom prst="rect">
          <a:avLst/>
        </a:prstGeom>
      </xdr:spPr>
    </xdr:pic>
    <xdr:clientData/>
  </xdr:twoCellAnchor>
  <xdr:twoCellAnchor editAs="oneCell">
    <xdr:from>
      <xdr:col>3</xdr:col>
      <xdr:colOff>1544934</xdr:colOff>
      <xdr:row>4</xdr:row>
      <xdr:rowOff>637680</xdr:rowOff>
    </xdr:from>
    <xdr:to>
      <xdr:col>4</xdr:col>
      <xdr:colOff>589605</xdr:colOff>
      <xdr:row>4</xdr:row>
      <xdr:rowOff>1247333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7984" y="1513980"/>
          <a:ext cx="625821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5</xdr:col>
      <xdr:colOff>532087</xdr:colOff>
      <xdr:row>4</xdr:row>
      <xdr:rowOff>1090449</xdr:rowOff>
    </xdr:from>
    <xdr:to>
      <xdr:col>5</xdr:col>
      <xdr:colOff>794845</xdr:colOff>
      <xdr:row>4</xdr:row>
      <xdr:rowOff>1543707</xdr:rowOff>
    </xdr:to>
    <xdr:sp macro="" textlink="">
      <xdr:nvSpPr>
        <xdr:cNvPr id="162" name="Полилиния 161"/>
        <xdr:cNvSpPr/>
      </xdr:nvSpPr>
      <xdr:spPr>
        <a:xfrm>
          <a:off x="5037412" y="1966749"/>
          <a:ext cx="262758" cy="453258"/>
        </a:xfrm>
        <a:custGeom>
          <a:avLst/>
          <a:gdLst>
            <a:gd name="connsiteX0" fmla="*/ 295603 w 295603"/>
            <a:gd name="connsiteY0" fmla="*/ 289034 h 289034"/>
            <a:gd name="connsiteX1" fmla="*/ 0 w 295603"/>
            <a:gd name="connsiteY1" fmla="*/ 243052 h 289034"/>
            <a:gd name="connsiteX2" fmla="*/ 0 w 295603"/>
            <a:gd name="connsiteY2" fmla="*/ 0 h 289034"/>
            <a:gd name="connsiteX3" fmla="*/ 269327 w 295603"/>
            <a:gd name="connsiteY3" fmla="*/ 91965 h 289034"/>
            <a:gd name="connsiteX0" fmla="*/ 262758 w 269327"/>
            <a:gd name="connsiteY0" fmla="*/ 289034 h 289034"/>
            <a:gd name="connsiteX1" fmla="*/ 0 w 269327"/>
            <a:gd name="connsiteY1" fmla="*/ 243052 h 289034"/>
            <a:gd name="connsiteX2" fmla="*/ 0 w 269327"/>
            <a:gd name="connsiteY2" fmla="*/ 0 h 289034"/>
            <a:gd name="connsiteX3" fmla="*/ 269327 w 269327"/>
            <a:gd name="connsiteY3" fmla="*/ 91965 h 289034"/>
            <a:gd name="connsiteX0" fmla="*/ 262758 w 262758"/>
            <a:gd name="connsiteY0" fmla="*/ 289034 h 289034"/>
            <a:gd name="connsiteX1" fmla="*/ 0 w 262758"/>
            <a:gd name="connsiteY1" fmla="*/ 243052 h 289034"/>
            <a:gd name="connsiteX2" fmla="*/ 0 w 262758"/>
            <a:gd name="connsiteY2" fmla="*/ 0 h 289034"/>
            <a:gd name="connsiteX3" fmla="*/ 243051 w 262758"/>
            <a:gd name="connsiteY3" fmla="*/ 105103 h 289034"/>
            <a:gd name="connsiteX0" fmla="*/ 262758 w 262758"/>
            <a:gd name="connsiteY0" fmla="*/ 453258 h 453258"/>
            <a:gd name="connsiteX1" fmla="*/ 0 w 262758"/>
            <a:gd name="connsiteY1" fmla="*/ 407276 h 453258"/>
            <a:gd name="connsiteX2" fmla="*/ 6569 w 262758"/>
            <a:gd name="connsiteY2" fmla="*/ 0 h 453258"/>
            <a:gd name="connsiteX3" fmla="*/ 243051 w 262758"/>
            <a:gd name="connsiteY3" fmla="*/ 269327 h 453258"/>
            <a:gd name="connsiteX0" fmla="*/ 270566 w 270566"/>
            <a:gd name="connsiteY0" fmla="*/ 453258 h 453258"/>
            <a:gd name="connsiteX1" fmla="*/ 7808 w 270566"/>
            <a:gd name="connsiteY1" fmla="*/ 407276 h 453258"/>
            <a:gd name="connsiteX2" fmla="*/ 0 w 270566"/>
            <a:gd name="connsiteY2" fmla="*/ 0 h 453258"/>
            <a:gd name="connsiteX3" fmla="*/ 250859 w 270566"/>
            <a:gd name="connsiteY3" fmla="*/ 269327 h 453258"/>
            <a:gd name="connsiteX0" fmla="*/ 262758 w 262758"/>
            <a:gd name="connsiteY0" fmla="*/ 453258 h 453258"/>
            <a:gd name="connsiteX1" fmla="*/ 0 w 262758"/>
            <a:gd name="connsiteY1" fmla="*/ 407276 h 453258"/>
            <a:gd name="connsiteX2" fmla="*/ 2975 w 262758"/>
            <a:gd name="connsiteY2" fmla="*/ 0 h 453258"/>
            <a:gd name="connsiteX3" fmla="*/ 243051 w 262758"/>
            <a:gd name="connsiteY3" fmla="*/ 269327 h 4532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2758" h="453258">
              <a:moveTo>
                <a:pt x="262758" y="453258"/>
              </a:moveTo>
              <a:lnTo>
                <a:pt x="0" y="407276"/>
              </a:lnTo>
              <a:cubicBezTo>
                <a:pt x="992" y="271517"/>
                <a:pt x="1983" y="135759"/>
                <a:pt x="2975" y="0"/>
              </a:cubicBezTo>
              <a:lnTo>
                <a:pt x="243051" y="269327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542745</xdr:colOff>
      <xdr:row>4</xdr:row>
      <xdr:rowOff>82670</xdr:rowOff>
    </xdr:from>
    <xdr:to>
      <xdr:col>5</xdr:col>
      <xdr:colOff>794349</xdr:colOff>
      <xdr:row>4</xdr:row>
      <xdr:rowOff>1121434</xdr:rowOff>
    </xdr:to>
    <xdr:sp macro="" textlink="">
      <xdr:nvSpPr>
        <xdr:cNvPr id="163" name="Полилиния 162"/>
        <xdr:cNvSpPr/>
      </xdr:nvSpPr>
      <xdr:spPr>
        <a:xfrm>
          <a:off x="5048070" y="958970"/>
          <a:ext cx="251604" cy="1038764"/>
        </a:xfrm>
        <a:custGeom>
          <a:avLst/>
          <a:gdLst>
            <a:gd name="connsiteX0" fmla="*/ 251604 w 251604"/>
            <a:gd name="connsiteY0" fmla="*/ 1038764 h 1038764"/>
            <a:gd name="connsiteX1" fmla="*/ 0 w 251604"/>
            <a:gd name="connsiteY1" fmla="*/ 772783 h 1038764"/>
            <a:gd name="connsiteX2" fmla="*/ 0 w 251604"/>
            <a:gd name="connsiteY2" fmla="*/ 0 h 10387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1604" h="1038764">
              <a:moveTo>
                <a:pt x="251604" y="1038764"/>
              </a:moveTo>
              <a:lnTo>
                <a:pt x="0" y="772783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718038</xdr:colOff>
      <xdr:row>4</xdr:row>
      <xdr:rowOff>73269</xdr:rowOff>
    </xdr:from>
    <xdr:to>
      <xdr:col>4</xdr:col>
      <xdr:colOff>1113693</xdr:colOff>
      <xdr:row>4</xdr:row>
      <xdr:rowOff>293077</xdr:rowOff>
    </xdr:to>
    <xdr:sp macro="" textlink="">
      <xdr:nvSpPr>
        <xdr:cNvPr id="164" name="Прямоугольник 163"/>
        <xdr:cNvSpPr/>
      </xdr:nvSpPr>
      <xdr:spPr>
        <a:xfrm>
          <a:off x="2261088" y="949569"/>
          <a:ext cx="1976805" cy="219808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"МАГНИТ"</a:t>
          </a:r>
        </a:p>
      </xdr:txBody>
    </xdr:sp>
    <xdr:clientData/>
  </xdr:twoCellAnchor>
  <xdr:twoCellAnchor>
    <xdr:from>
      <xdr:col>3</xdr:col>
      <xdr:colOff>814871</xdr:colOff>
      <xdr:row>16</xdr:row>
      <xdr:rowOff>1322979</xdr:rowOff>
    </xdr:from>
    <xdr:to>
      <xdr:col>3</xdr:col>
      <xdr:colOff>886871</xdr:colOff>
      <xdr:row>16</xdr:row>
      <xdr:rowOff>1394979</xdr:rowOff>
    </xdr:to>
    <xdr:sp macro="" textlink="">
      <xdr:nvSpPr>
        <xdr:cNvPr id="165" name="Овал 16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57921" y="2201127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849743</xdr:colOff>
      <xdr:row>16</xdr:row>
      <xdr:rowOff>238832</xdr:rowOff>
    </xdr:from>
    <xdr:to>
      <xdr:col>3</xdr:col>
      <xdr:colOff>1047662</xdr:colOff>
      <xdr:row>16</xdr:row>
      <xdr:rowOff>1378405</xdr:rowOff>
    </xdr:to>
    <xdr:sp macro="" textlink="">
      <xdr:nvSpPr>
        <xdr:cNvPr id="166" name="Полилиния 165"/>
        <xdr:cNvSpPr/>
      </xdr:nvSpPr>
      <xdr:spPr>
        <a:xfrm>
          <a:off x="2392793" y="20927132"/>
          <a:ext cx="197919" cy="1139573"/>
        </a:xfrm>
        <a:custGeom>
          <a:avLst/>
          <a:gdLst>
            <a:gd name="connsiteX0" fmla="*/ 0 w 240196"/>
            <a:gd name="connsiteY0" fmla="*/ 1192696 h 1196056"/>
            <a:gd name="connsiteX1" fmla="*/ 16565 w 240196"/>
            <a:gd name="connsiteY1" fmla="*/ 1126435 h 1196056"/>
            <a:gd name="connsiteX2" fmla="*/ 49696 w 240196"/>
            <a:gd name="connsiteY2" fmla="*/ 720587 h 1196056"/>
            <a:gd name="connsiteX3" fmla="*/ 149087 w 240196"/>
            <a:gd name="connsiteY3" fmla="*/ 265044 h 1196056"/>
            <a:gd name="connsiteX4" fmla="*/ 240196 w 240196"/>
            <a:gd name="connsiteY4" fmla="*/ 0 h 1196056"/>
            <a:gd name="connsiteX0" fmla="*/ 0 w 223631"/>
            <a:gd name="connsiteY0" fmla="*/ 1126435 h 1126435"/>
            <a:gd name="connsiteX1" fmla="*/ 33131 w 223631"/>
            <a:gd name="connsiteY1" fmla="*/ 720587 h 1126435"/>
            <a:gd name="connsiteX2" fmla="*/ 132522 w 223631"/>
            <a:gd name="connsiteY2" fmla="*/ 265044 h 1126435"/>
            <a:gd name="connsiteX3" fmla="*/ 223631 w 223631"/>
            <a:gd name="connsiteY3" fmla="*/ 0 h 1126435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8127 w 198914"/>
            <a:gd name="connsiteY0" fmla="*/ 1139573 h 1139573"/>
            <a:gd name="connsiteX1" fmla="*/ 8414 w 198914"/>
            <a:gd name="connsiteY1" fmla="*/ 720587 h 1139573"/>
            <a:gd name="connsiteX2" fmla="*/ 107805 w 198914"/>
            <a:gd name="connsiteY2" fmla="*/ 265044 h 1139573"/>
            <a:gd name="connsiteX3" fmla="*/ 198914 w 198914"/>
            <a:gd name="connsiteY3" fmla="*/ 0 h 1139573"/>
            <a:gd name="connsiteX0" fmla="*/ 7132 w 197919"/>
            <a:gd name="connsiteY0" fmla="*/ 1139573 h 1139573"/>
            <a:gd name="connsiteX1" fmla="*/ 7419 w 197919"/>
            <a:gd name="connsiteY1" fmla="*/ 720587 h 1139573"/>
            <a:gd name="connsiteX2" fmla="*/ 106810 w 197919"/>
            <a:gd name="connsiteY2" fmla="*/ 265044 h 1139573"/>
            <a:gd name="connsiteX3" fmla="*/ 197919 w 197919"/>
            <a:gd name="connsiteY3" fmla="*/ 0 h 1139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919" h="1139573">
              <a:moveTo>
                <a:pt x="7132" y="1139573"/>
              </a:moveTo>
              <a:cubicBezTo>
                <a:pt x="7309" y="1012809"/>
                <a:pt x="-9194" y="866342"/>
                <a:pt x="7419" y="720587"/>
              </a:cubicBezTo>
              <a:cubicBezTo>
                <a:pt x="24032" y="574832"/>
                <a:pt x="75060" y="385142"/>
                <a:pt x="106810" y="265044"/>
              </a:cubicBezTo>
              <a:cubicBezTo>
                <a:pt x="138560" y="144946"/>
                <a:pt x="168239" y="72473"/>
                <a:pt x="197919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554759</xdr:colOff>
      <xdr:row>16</xdr:row>
      <xdr:rowOff>210991</xdr:rowOff>
    </xdr:from>
    <xdr:to>
      <xdr:col>3</xdr:col>
      <xdr:colOff>856809</xdr:colOff>
      <xdr:row>16</xdr:row>
      <xdr:rowOff>1018633</xdr:rowOff>
    </xdr:to>
    <xdr:sp macro="" textlink="">
      <xdr:nvSpPr>
        <xdr:cNvPr id="167" name="Полилиния 166"/>
        <xdr:cNvSpPr/>
      </xdr:nvSpPr>
      <xdr:spPr>
        <a:xfrm>
          <a:off x="2097809" y="20899291"/>
          <a:ext cx="302050" cy="807642"/>
        </a:xfrm>
        <a:custGeom>
          <a:avLst/>
          <a:gdLst>
            <a:gd name="connsiteX0" fmla="*/ 289891 w 295486"/>
            <a:gd name="connsiteY0" fmla="*/ 811696 h 811696"/>
            <a:gd name="connsiteX1" fmla="*/ 256761 w 295486"/>
            <a:gd name="connsiteY1" fmla="*/ 563218 h 811696"/>
            <a:gd name="connsiteX2" fmla="*/ 0 w 295486"/>
            <a:gd name="connsiteY2" fmla="*/ 0 h 811696"/>
            <a:gd name="connsiteX0" fmla="*/ 302050 w 305256"/>
            <a:gd name="connsiteY0" fmla="*/ 807642 h 807642"/>
            <a:gd name="connsiteX1" fmla="*/ 256761 w 305256"/>
            <a:gd name="connsiteY1" fmla="*/ 563218 h 807642"/>
            <a:gd name="connsiteX2" fmla="*/ 0 w 305256"/>
            <a:gd name="connsiteY2" fmla="*/ 0 h 807642"/>
            <a:gd name="connsiteX0" fmla="*/ 302050 w 302050"/>
            <a:gd name="connsiteY0" fmla="*/ 807642 h 807642"/>
            <a:gd name="connsiteX1" fmla="*/ 256761 w 302050"/>
            <a:gd name="connsiteY1" fmla="*/ 563218 h 807642"/>
            <a:gd name="connsiteX2" fmla="*/ 0 w 302050"/>
            <a:gd name="connsiteY2" fmla="*/ 0 h 807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050" h="807642">
              <a:moveTo>
                <a:pt x="302050" y="807642"/>
              </a:moveTo>
              <a:cubicBezTo>
                <a:pt x="293429" y="746990"/>
                <a:pt x="307103" y="697825"/>
                <a:pt x="256761" y="563218"/>
              </a:cubicBezTo>
              <a:cubicBezTo>
                <a:pt x="206419" y="428611"/>
                <a:pt x="46935" y="9387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874059</xdr:colOff>
      <xdr:row>21</xdr:row>
      <xdr:rowOff>1053353</xdr:rowOff>
    </xdr:from>
    <xdr:to>
      <xdr:col>3</xdr:col>
      <xdr:colOff>946059</xdr:colOff>
      <xdr:row>21</xdr:row>
      <xdr:rowOff>1125353</xdr:rowOff>
    </xdr:to>
    <xdr:sp macro="" textlink="">
      <xdr:nvSpPr>
        <xdr:cNvPr id="168" name="5-конечная звезда 167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SpPr/>
      </xdr:nvSpPr>
      <xdr:spPr>
        <a:xfrm>
          <a:off x="2417109" y="2936165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480252</xdr:colOff>
      <xdr:row>21</xdr:row>
      <xdr:rowOff>172091</xdr:rowOff>
    </xdr:from>
    <xdr:to>
      <xdr:col>5</xdr:col>
      <xdr:colOff>597432</xdr:colOff>
      <xdr:row>21</xdr:row>
      <xdr:rowOff>562616</xdr:rowOff>
    </xdr:to>
    <xdr:sp macro="" textlink="">
      <xdr:nvSpPr>
        <xdr:cNvPr id="169" name="Прямоугольник 168"/>
        <xdr:cNvSpPr/>
      </xdr:nvSpPr>
      <xdr:spPr>
        <a:xfrm>
          <a:off x="3604452" y="28480391"/>
          <a:ext cx="1498305" cy="390525"/>
        </a:xfrm>
        <a:prstGeom prst="rect">
          <a:avLst/>
        </a:prstGeom>
        <a:solidFill>
          <a:srgbClr val="0070C0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600" b="1">
              <a:solidFill>
                <a:schemeClr val="bg1"/>
              </a:solidFill>
            </a:rPr>
            <a:t>???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581104</xdr:colOff>
      <xdr:row>21</xdr:row>
      <xdr:rowOff>270021</xdr:rowOff>
    </xdr:from>
    <xdr:to>
      <xdr:col>4</xdr:col>
      <xdr:colOff>738947</xdr:colOff>
      <xdr:row>21</xdr:row>
      <xdr:rowOff>456753</xdr:rowOff>
    </xdr:to>
    <xdr:sp macro="" textlink="">
      <xdr:nvSpPr>
        <xdr:cNvPr id="170" name="Стрелка вправо 169"/>
        <xdr:cNvSpPr/>
      </xdr:nvSpPr>
      <xdr:spPr>
        <a:xfrm flipH="1">
          <a:off x="3705304" y="28578321"/>
          <a:ext cx="157843" cy="186732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373933</xdr:colOff>
      <xdr:row>32</xdr:row>
      <xdr:rowOff>996832</xdr:rowOff>
    </xdr:from>
    <xdr:to>
      <xdr:col>3</xdr:col>
      <xdr:colOff>445933</xdr:colOff>
      <xdr:row>32</xdr:row>
      <xdr:rowOff>1068832</xdr:rowOff>
    </xdr:to>
    <xdr:sp macro="" textlink="">
      <xdr:nvSpPr>
        <xdr:cNvPr id="171" name="5-конечная звезда 17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1916983" y="4606913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340894</xdr:colOff>
      <xdr:row>4</xdr:row>
      <xdr:rowOff>70184</xdr:rowOff>
    </xdr:from>
    <xdr:to>
      <xdr:col>5</xdr:col>
      <xdr:colOff>40105</xdr:colOff>
      <xdr:row>4</xdr:row>
      <xdr:rowOff>70184</xdr:rowOff>
    </xdr:to>
    <xdr:cxnSp macro="">
      <xdr:nvCxnSpPr>
        <xdr:cNvPr id="172" name="Прямая соединительная линия 171"/>
        <xdr:cNvCxnSpPr/>
      </xdr:nvCxnSpPr>
      <xdr:spPr>
        <a:xfrm>
          <a:off x="1883944" y="946484"/>
          <a:ext cx="2661486" cy="0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598714</xdr:colOff>
      <xdr:row>23</xdr:row>
      <xdr:rowOff>1047190</xdr:rowOff>
    </xdr:from>
    <xdr:to>
      <xdr:col>18</xdr:col>
      <xdr:colOff>285750</xdr:colOff>
      <xdr:row>23</xdr:row>
      <xdr:rowOff>1047190</xdr:rowOff>
    </xdr:to>
    <xdr:cxnSp macro="">
      <xdr:nvCxnSpPr>
        <xdr:cNvPr id="173" name="Прямая со стрелкой 172"/>
        <xdr:cNvCxnSpPr/>
      </xdr:nvCxnSpPr>
      <xdr:spPr>
        <a:xfrm>
          <a:off x="7447189" y="32403490"/>
          <a:ext cx="5706836" cy="0"/>
        </a:xfrm>
        <a:prstGeom prst="straightConnector1">
          <a:avLst/>
        </a:prstGeom>
        <a:ln w="6350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506888</xdr:colOff>
      <xdr:row>23</xdr:row>
      <xdr:rowOff>945585</xdr:rowOff>
    </xdr:from>
    <xdr:to>
      <xdr:col>9</xdr:col>
      <xdr:colOff>74566</xdr:colOff>
      <xdr:row>23</xdr:row>
      <xdr:rowOff>1125585</xdr:rowOff>
    </xdr:to>
    <xdr:sp macro="" textlink="">
      <xdr:nvSpPr>
        <xdr:cNvPr id="174" name="Овал 173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7355363" y="32301885"/>
          <a:ext cx="177278" cy="180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330266</xdr:colOff>
      <xdr:row>23</xdr:row>
      <xdr:rowOff>318119</xdr:rowOff>
    </xdr:from>
    <xdr:to>
      <xdr:col>9</xdr:col>
      <xdr:colOff>330266</xdr:colOff>
      <xdr:row>23</xdr:row>
      <xdr:rowOff>1043108</xdr:rowOff>
    </xdr:to>
    <xdr:cxnSp macro="">
      <xdr:nvCxnSpPr>
        <xdr:cNvPr id="175" name="Прямая со стрелкой 17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7788341" y="31674419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17920</xdr:colOff>
      <xdr:row>23</xdr:row>
      <xdr:rowOff>1053204</xdr:rowOff>
    </xdr:from>
    <xdr:to>
      <xdr:col>10</xdr:col>
      <xdr:colOff>17920</xdr:colOff>
      <xdr:row>24</xdr:row>
      <xdr:rowOff>254193</xdr:rowOff>
    </xdr:to>
    <xdr:cxnSp macro="">
      <xdr:nvCxnSpPr>
        <xdr:cNvPr id="176" name="Прямая со стрелкой 17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8009395" y="32409504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243456</xdr:colOff>
      <xdr:row>23</xdr:row>
      <xdr:rowOff>318119</xdr:rowOff>
    </xdr:from>
    <xdr:to>
      <xdr:col>10</xdr:col>
      <xdr:colOff>243456</xdr:colOff>
      <xdr:row>23</xdr:row>
      <xdr:rowOff>1043108</xdr:rowOff>
    </xdr:to>
    <xdr:cxnSp macro="">
      <xdr:nvCxnSpPr>
        <xdr:cNvPr id="177" name="Прямая со стрелкой 17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8234931" y="31674419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468992</xdr:colOff>
      <xdr:row>23</xdr:row>
      <xdr:rowOff>298748</xdr:rowOff>
    </xdr:from>
    <xdr:to>
      <xdr:col>10</xdr:col>
      <xdr:colOff>468992</xdr:colOff>
      <xdr:row>23</xdr:row>
      <xdr:rowOff>1043108</xdr:rowOff>
    </xdr:to>
    <xdr:grpSp>
      <xdr:nvGrpSpPr>
        <xdr:cNvPr id="178" name="Группа 177"/>
        <xdr:cNvGrpSpPr/>
      </xdr:nvGrpSpPr>
      <xdr:grpSpPr>
        <a:xfrm>
          <a:off x="8447580" y="31675219"/>
          <a:ext cx="0" cy="744360"/>
          <a:chOff x="8929660" y="24481651"/>
          <a:chExt cx="0" cy="744360"/>
        </a:xfrm>
      </xdr:grpSpPr>
      <xdr:cxnSp macro="">
        <xdr:nvCxnSpPr>
          <xdr:cNvPr id="179" name="Прямая со стрелкой 178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solidFill>
              <a:schemeClr val="tx1"/>
            </a:solidFill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0" name="Прямая со стрелкой 179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solidFill>
              <a:schemeClr val="tx1"/>
            </a:solidFill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540482</xdr:colOff>
      <xdr:row>23</xdr:row>
      <xdr:rowOff>302880</xdr:rowOff>
    </xdr:from>
    <xdr:to>
      <xdr:col>11</xdr:col>
      <xdr:colOff>540482</xdr:colOff>
      <xdr:row>24</xdr:row>
      <xdr:rowOff>267501</xdr:rowOff>
    </xdr:to>
    <xdr:cxnSp macro="">
      <xdr:nvCxnSpPr>
        <xdr:cNvPr id="181" name="Прямая со стрелкой 18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141557" y="31659180"/>
          <a:ext cx="0" cy="1488621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160900</xdr:colOff>
      <xdr:row>23</xdr:row>
      <xdr:rowOff>318119</xdr:rowOff>
    </xdr:from>
    <xdr:to>
      <xdr:col>12</xdr:col>
      <xdr:colOff>160900</xdr:colOff>
      <xdr:row>23</xdr:row>
      <xdr:rowOff>1043108</xdr:rowOff>
    </xdr:to>
    <xdr:cxnSp macro="">
      <xdr:nvCxnSpPr>
        <xdr:cNvPr id="182" name="Прямая со стрелкой 18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371575" y="31674419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386436</xdr:colOff>
      <xdr:row>23</xdr:row>
      <xdr:rowOff>1053204</xdr:rowOff>
    </xdr:from>
    <xdr:to>
      <xdr:col>12</xdr:col>
      <xdr:colOff>386436</xdr:colOff>
      <xdr:row>24</xdr:row>
      <xdr:rowOff>254193</xdr:rowOff>
    </xdr:to>
    <xdr:cxnSp macro="">
      <xdr:nvCxnSpPr>
        <xdr:cNvPr id="183" name="Прямая со стрелкой 18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597111" y="32409504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232391</xdr:colOff>
      <xdr:row>23</xdr:row>
      <xdr:rowOff>1053204</xdr:rowOff>
    </xdr:from>
    <xdr:to>
      <xdr:col>13</xdr:col>
      <xdr:colOff>232391</xdr:colOff>
      <xdr:row>24</xdr:row>
      <xdr:rowOff>254193</xdr:rowOff>
    </xdr:to>
    <xdr:cxnSp macro="">
      <xdr:nvCxnSpPr>
        <xdr:cNvPr id="184" name="Прямая со стрелкой 18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052666" y="32409504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78345</xdr:colOff>
      <xdr:row>23</xdr:row>
      <xdr:rowOff>318119</xdr:rowOff>
    </xdr:from>
    <xdr:to>
      <xdr:col>14</xdr:col>
      <xdr:colOff>78345</xdr:colOff>
      <xdr:row>23</xdr:row>
      <xdr:rowOff>1043108</xdr:rowOff>
    </xdr:to>
    <xdr:cxnSp macro="">
      <xdr:nvCxnSpPr>
        <xdr:cNvPr id="185" name="Прямая со стрелкой 18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508220" y="31674419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303881</xdr:colOff>
      <xdr:row>23</xdr:row>
      <xdr:rowOff>302880</xdr:rowOff>
    </xdr:from>
    <xdr:to>
      <xdr:col>14</xdr:col>
      <xdr:colOff>303881</xdr:colOff>
      <xdr:row>24</xdr:row>
      <xdr:rowOff>267501</xdr:rowOff>
    </xdr:to>
    <xdr:cxnSp macro="">
      <xdr:nvCxnSpPr>
        <xdr:cNvPr id="186" name="Прямая со стрелкой 18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733756" y="31659180"/>
          <a:ext cx="0" cy="1488621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600908</xdr:colOff>
      <xdr:row>23</xdr:row>
      <xdr:rowOff>1053204</xdr:rowOff>
    </xdr:from>
    <xdr:to>
      <xdr:col>15</xdr:col>
      <xdr:colOff>600908</xdr:colOff>
      <xdr:row>24</xdr:row>
      <xdr:rowOff>273564</xdr:rowOff>
    </xdr:to>
    <xdr:grpSp>
      <xdr:nvGrpSpPr>
        <xdr:cNvPr id="187" name="Группа 186"/>
        <xdr:cNvGrpSpPr/>
      </xdr:nvGrpSpPr>
      <xdr:grpSpPr>
        <a:xfrm flipV="1">
          <a:off x="11605084" y="32429675"/>
          <a:ext cx="0" cy="744360"/>
          <a:chOff x="8929660" y="24481651"/>
          <a:chExt cx="0" cy="744360"/>
        </a:xfrm>
      </xdr:grpSpPr>
      <xdr:cxnSp macro="">
        <xdr:nvCxnSpPr>
          <xdr:cNvPr id="188" name="Прямая со стрелкой 187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9" name="Прямая со стрелкой 188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446862</xdr:colOff>
      <xdr:row>23</xdr:row>
      <xdr:rowOff>318119</xdr:rowOff>
    </xdr:from>
    <xdr:to>
      <xdr:col>16</xdr:col>
      <xdr:colOff>446862</xdr:colOff>
      <xdr:row>23</xdr:row>
      <xdr:rowOff>1043108</xdr:rowOff>
    </xdr:to>
    <xdr:cxnSp macro="">
      <xdr:nvCxnSpPr>
        <xdr:cNvPr id="190" name="Прямая со стрелкой 18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2095937" y="31674419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67280</xdr:colOff>
      <xdr:row>23</xdr:row>
      <xdr:rowOff>1053204</xdr:rowOff>
    </xdr:from>
    <xdr:to>
      <xdr:col>17</xdr:col>
      <xdr:colOff>67280</xdr:colOff>
      <xdr:row>24</xdr:row>
      <xdr:rowOff>254193</xdr:rowOff>
    </xdr:to>
    <xdr:cxnSp macro="">
      <xdr:nvCxnSpPr>
        <xdr:cNvPr id="191" name="Прямая со стрелкой 19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2325955" y="32409504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292824</xdr:colOff>
      <xdr:row>23</xdr:row>
      <xdr:rowOff>318119</xdr:rowOff>
    </xdr:from>
    <xdr:to>
      <xdr:col>17</xdr:col>
      <xdr:colOff>292824</xdr:colOff>
      <xdr:row>23</xdr:row>
      <xdr:rowOff>1043108</xdr:rowOff>
    </xdr:to>
    <xdr:cxnSp macro="">
      <xdr:nvCxnSpPr>
        <xdr:cNvPr id="192" name="Прямая со стрелкой 19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2551499" y="31674419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457927</xdr:colOff>
      <xdr:row>23</xdr:row>
      <xdr:rowOff>1053204</xdr:rowOff>
    </xdr:from>
    <xdr:to>
      <xdr:col>13</xdr:col>
      <xdr:colOff>457927</xdr:colOff>
      <xdr:row>24</xdr:row>
      <xdr:rowOff>254193</xdr:rowOff>
    </xdr:to>
    <xdr:cxnSp macro="">
      <xdr:nvCxnSpPr>
        <xdr:cNvPr id="193" name="Прямая со стрелкой 19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278202" y="32409504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89410</xdr:colOff>
      <xdr:row>23</xdr:row>
      <xdr:rowOff>318119</xdr:rowOff>
    </xdr:from>
    <xdr:to>
      <xdr:col>11</xdr:col>
      <xdr:colOff>89410</xdr:colOff>
      <xdr:row>23</xdr:row>
      <xdr:rowOff>1043108</xdr:rowOff>
    </xdr:to>
    <xdr:cxnSp macro="">
      <xdr:nvCxnSpPr>
        <xdr:cNvPr id="194" name="Прямая со стрелкой 19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8690485" y="31674419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314946</xdr:colOff>
      <xdr:row>23</xdr:row>
      <xdr:rowOff>302880</xdr:rowOff>
    </xdr:from>
    <xdr:to>
      <xdr:col>11</xdr:col>
      <xdr:colOff>314946</xdr:colOff>
      <xdr:row>24</xdr:row>
      <xdr:rowOff>267501</xdr:rowOff>
    </xdr:to>
    <xdr:cxnSp macro="">
      <xdr:nvCxnSpPr>
        <xdr:cNvPr id="195" name="Прямая со стрелкой 19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8916021" y="31659180"/>
          <a:ext cx="0" cy="1488621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6855</xdr:colOff>
      <xdr:row>23</xdr:row>
      <xdr:rowOff>1053204</xdr:rowOff>
    </xdr:from>
    <xdr:to>
      <xdr:col>13</xdr:col>
      <xdr:colOff>6855</xdr:colOff>
      <xdr:row>24</xdr:row>
      <xdr:rowOff>254193</xdr:rowOff>
    </xdr:to>
    <xdr:cxnSp macro="">
      <xdr:nvCxnSpPr>
        <xdr:cNvPr id="196" name="Прямая со стрелкой 19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827130" y="32409504"/>
          <a:ext cx="0" cy="724989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529417</xdr:colOff>
      <xdr:row>23</xdr:row>
      <xdr:rowOff>302880</xdr:rowOff>
    </xdr:from>
    <xdr:to>
      <xdr:col>14</xdr:col>
      <xdr:colOff>529417</xdr:colOff>
      <xdr:row>24</xdr:row>
      <xdr:rowOff>267501</xdr:rowOff>
    </xdr:to>
    <xdr:cxnSp macro="">
      <xdr:nvCxnSpPr>
        <xdr:cNvPr id="197" name="Прямая со стрелкой 19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959292" y="31659180"/>
          <a:ext cx="0" cy="1488621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149836</xdr:colOff>
      <xdr:row>23</xdr:row>
      <xdr:rowOff>1053204</xdr:rowOff>
    </xdr:from>
    <xdr:to>
      <xdr:col>15</xdr:col>
      <xdr:colOff>149836</xdr:colOff>
      <xdr:row>24</xdr:row>
      <xdr:rowOff>254193</xdr:rowOff>
    </xdr:to>
    <xdr:cxnSp macro="">
      <xdr:nvCxnSpPr>
        <xdr:cNvPr id="198" name="Прямая со стрелкой 19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1189311" y="32409504"/>
          <a:ext cx="0" cy="724989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375372</xdr:colOff>
      <xdr:row>23</xdr:row>
      <xdr:rowOff>1053204</xdr:rowOff>
    </xdr:from>
    <xdr:to>
      <xdr:col>15</xdr:col>
      <xdr:colOff>375372</xdr:colOff>
      <xdr:row>24</xdr:row>
      <xdr:rowOff>254193</xdr:rowOff>
    </xdr:to>
    <xdr:cxnSp macro="">
      <xdr:nvCxnSpPr>
        <xdr:cNvPr id="199" name="Прямая со стрелкой 19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1414847" y="32409504"/>
          <a:ext cx="0" cy="724989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221326</xdr:colOff>
      <xdr:row>23</xdr:row>
      <xdr:rowOff>1053204</xdr:rowOff>
    </xdr:from>
    <xdr:to>
      <xdr:col>16</xdr:col>
      <xdr:colOff>221326</xdr:colOff>
      <xdr:row>24</xdr:row>
      <xdr:rowOff>254193</xdr:rowOff>
    </xdr:to>
    <xdr:cxnSp macro="">
      <xdr:nvCxnSpPr>
        <xdr:cNvPr id="200" name="Прямая со стрелкой 19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1870401" y="32409504"/>
          <a:ext cx="0" cy="724989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1238250</xdr:colOff>
      <xdr:row>32</xdr:row>
      <xdr:rowOff>66675</xdr:rowOff>
    </xdr:from>
    <xdr:to>
      <xdr:col>4</xdr:col>
      <xdr:colOff>1238250</xdr:colOff>
      <xdr:row>32</xdr:row>
      <xdr:rowOff>981075</xdr:rowOff>
    </xdr:to>
    <xdr:cxnSp macro="">
      <xdr:nvCxnSpPr>
        <xdr:cNvPr id="201" name="Прямая соединительная линия 200"/>
        <xdr:cNvCxnSpPr/>
      </xdr:nvCxnSpPr>
      <xdr:spPr>
        <a:xfrm>
          <a:off x="4362450" y="45138975"/>
          <a:ext cx="0" cy="91440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832253</xdr:colOff>
      <xdr:row>12</xdr:row>
      <xdr:rowOff>983398</xdr:rowOff>
    </xdr:from>
    <xdr:to>
      <xdr:col>3</xdr:col>
      <xdr:colOff>832471</xdr:colOff>
      <xdr:row>12</xdr:row>
      <xdr:rowOff>1353034</xdr:rowOff>
    </xdr:to>
    <xdr:cxnSp macro="">
      <xdr:nvCxnSpPr>
        <xdr:cNvPr id="202" name="Прямая со стрелкой 20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>
          <a:stCxn id="204" idx="0"/>
        </xdr:cNvCxnSpPr>
      </xdr:nvCxnSpPr>
      <xdr:spPr>
        <a:xfrm>
          <a:off x="2378665" y="15595869"/>
          <a:ext cx="218" cy="369636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796807</xdr:colOff>
      <xdr:row>12</xdr:row>
      <xdr:rowOff>1335920</xdr:rowOff>
    </xdr:from>
    <xdr:to>
      <xdr:col>3</xdr:col>
      <xdr:colOff>868807</xdr:colOff>
      <xdr:row>12</xdr:row>
      <xdr:rowOff>1407920</xdr:rowOff>
    </xdr:to>
    <xdr:sp macro="" textlink="">
      <xdr:nvSpPr>
        <xdr:cNvPr id="203" name="Овал 20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43219" y="1594839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312041</xdr:colOff>
      <xdr:row>12</xdr:row>
      <xdr:rowOff>492259</xdr:rowOff>
    </xdr:from>
    <xdr:to>
      <xdr:col>3</xdr:col>
      <xdr:colOff>832253</xdr:colOff>
      <xdr:row>12</xdr:row>
      <xdr:rowOff>983398</xdr:rowOff>
    </xdr:to>
    <xdr:sp macro="" textlink="">
      <xdr:nvSpPr>
        <xdr:cNvPr id="204" name="Полилиния 203"/>
        <xdr:cNvSpPr/>
      </xdr:nvSpPr>
      <xdr:spPr>
        <a:xfrm>
          <a:off x="1858453" y="15104730"/>
          <a:ext cx="520212" cy="491139"/>
        </a:xfrm>
        <a:custGeom>
          <a:avLst/>
          <a:gdLst>
            <a:gd name="connsiteX0" fmla="*/ 520212 w 520212"/>
            <a:gd name="connsiteY0" fmla="*/ 491139 h 491139"/>
            <a:gd name="connsiteX1" fmla="*/ 461596 w 520212"/>
            <a:gd name="connsiteY1" fmla="*/ 256677 h 491139"/>
            <a:gd name="connsiteX2" fmla="*/ 263769 w 520212"/>
            <a:gd name="connsiteY2" fmla="*/ 95485 h 491139"/>
            <a:gd name="connsiteX3" fmla="*/ 73269 w 520212"/>
            <a:gd name="connsiteY3" fmla="*/ 14889 h 491139"/>
            <a:gd name="connsiteX4" fmla="*/ 0 w 520212"/>
            <a:gd name="connsiteY4" fmla="*/ 235 h 4911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20212" h="491139">
              <a:moveTo>
                <a:pt x="520212" y="491139"/>
              </a:moveTo>
              <a:cubicBezTo>
                <a:pt x="512274" y="406879"/>
                <a:pt x="504336" y="322619"/>
                <a:pt x="461596" y="256677"/>
              </a:cubicBezTo>
              <a:cubicBezTo>
                <a:pt x="418855" y="190735"/>
                <a:pt x="328490" y="135783"/>
                <a:pt x="263769" y="95485"/>
              </a:cubicBezTo>
              <a:cubicBezTo>
                <a:pt x="199048" y="55187"/>
                <a:pt x="117230" y="30764"/>
                <a:pt x="73269" y="14889"/>
              </a:cubicBezTo>
              <a:cubicBezTo>
                <a:pt x="29307" y="-986"/>
                <a:pt x="14653" y="-376"/>
                <a:pt x="0" y="235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710612</xdr:colOff>
      <xdr:row>12</xdr:row>
      <xdr:rowOff>124239</xdr:rowOff>
    </xdr:from>
    <xdr:to>
      <xdr:col>3</xdr:col>
      <xdr:colOff>832253</xdr:colOff>
      <xdr:row>12</xdr:row>
      <xdr:rowOff>983398</xdr:rowOff>
    </xdr:to>
    <xdr:cxnSp macro="">
      <xdr:nvCxnSpPr>
        <xdr:cNvPr id="205" name="Прямая со стрелкой 20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>
          <a:endCxn id="204" idx="0"/>
        </xdr:cNvCxnSpPr>
      </xdr:nvCxnSpPr>
      <xdr:spPr>
        <a:xfrm>
          <a:off x="2257024" y="14736710"/>
          <a:ext cx="121641" cy="859159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813477</xdr:colOff>
      <xdr:row>12</xdr:row>
      <xdr:rowOff>863203</xdr:rowOff>
    </xdr:from>
    <xdr:to>
      <xdr:col>3</xdr:col>
      <xdr:colOff>992071</xdr:colOff>
      <xdr:row>12</xdr:row>
      <xdr:rowOff>1387078</xdr:rowOff>
    </xdr:to>
    <xdr:sp macro="" textlink="">
      <xdr:nvSpPr>
        <xdr:cNvPr id="206" name="Полилиния 205"/>
        <xdr:cNvSpPr/>
      </xdr:nvSpPr>
      <xdr:spPr>
        <a:xfrm>
          <a:off x="2359889" y="15475674"/>
          <a:ext cx="178594" cy="523875"/>
        </a:xfrm>
        <a:custGeom>
          <a:avLst/>
          <a:gdLst>
            <a:gd name="connsiteX0" fmla="*/ 0 w 178594"/>
            <a:gd name="connsiteY0" fmla="*/ 0 h 523875"/>
            <a:gd name="connsiteX1" fmla="*/ 59531 w 178594"/>
            <a:gd name="connsiteY1" fmla="*/ 267890 h 523875"/>
            <a:gd name="connsiteX2" fmla="*/ 130969 w 178594"/>
            <a:gd name="connsiteY2" fmla="*/ 464343 h 523875"/>
            <a:gd name="connsiteX3" fmla="*/ 178594 w 178594"/>
            <a:gd name="connsiteY3" fmla="*/ 523875 h 523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8594" h="523875">
              <a:moveTo>
                <a:pt x="0" y="0"/>
              </a:moveTo>
              <a:cubicBezTo>
                <a:pt x="18851" y="95250"/>
                <a:pt x="37703" y="190500"/>
                <a:pt x="59531" y="267890"/>
              </a:cubicBezTo>
              <a:cubicBezTo>
                <a:pt x="81359" y="345280"/>
                <a:pt x="111125" y="421679"/>
                <a:pt x="130969" y="464343"/>
              </a:cubicBezTo>
              <a:cubicBezTo>
                <a:pt x="150813" y="507007"/>
                <a:pt x="168672" y="513953"/>
                <a:pt x="178594" y="523875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462643</xdr:colOff>
      <xdr:row>31</xdr:row>
      <xdr:rowOff>547781</xdr:rowOff>
    </xdr:from>
    <xdr:to>
      <xdr:col>5</xdr:col>
      <xdr:colOff>577022</xdr:colOff>
      <xdr:row>31</xdr:row>
      <xdr:rowOff>938306</xdr:rowOff>
    </xdr:to>
    <xdr:sp macro="" textlink="">
      <xdr:nvSpPr>
        <xdr:cNvPr id="207" name="Прямоугольник 206"/>
        <xdr:cNvSpPr/>
      </xdr:nvSpPr>
      <xdr:spPr>
        <a:xfrm>
          <a:off x="3586843" y="44096081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ГРИНЕВО</a:t>
          </a:r>
        </a:p>
      </xdr:txBody>
    </xdr:sp>
    <xdr:clientData/>
  </xdr:twoCellAnchor>
  <xdr:twoCellAnchor>
    <xdr:from>
      <xdr:col>4</xdr:col>
      <xdr:colOff>469291</xdr:colOff>
      <xdr:row>31</xdr:row>
      <xdr:rowOff>545888</xdr:rowOff>
    </xdr:from>
    <xdr:to>
      <xdr:col>5</xdr:col>
      <xdr:colOff>567262</xdr:colOff>
      <xdr:row>31</xdr:row>
      <xdr:rowOff>937773</xdr:rowOff>
    </xdr:to>
    <xdr:cxnSp macro="">
      <xdr:nvCxnSpPr>
        <xdr:cNvPr id="208" name="Прямая соединительная линия 207"/>
        <xdr:cNvCxnSpPr/>
      </xdr:nvCxnSpPr>
      <xdr:spPr>
        <a:xfrm flipV="1">
          <a:off x="3593491" y="44094188"/>
          <a:ext cx="1479096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734958</xdr:colOff>
      <xdr:row>31</xdr:row>
      <xdr:rowOff>81642</xdr:rowOff>
    </xdr:from>
    <xdr:to>
      <xdr:col>3</xdr:col>
      <xdr:colOff>734958</xdr:colOff>
      <xdr:row>31</xdr:row>
      <xdr:rowOff>1371182</xdr:rowOff>
    </xdr:to>
    <xdr:cxnSp macro="">
      <xdr:nvCxnSpPr>
        <xdr:cNvPr id="209" name="Прямая со стрелкой 20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8008" y="43629942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693965</xdr:colOff>
      <xdr:row>31</xdr:row>
      <xdr:rowOff>1353486</xdr:rowOff>
    </xdr:from>
    <xdr:to>
      <xdr:col>3</xdr:col>
      <xdr:colOff>765965</xdr:colOff>
      <xdr:row>31</xdr:row>
      <xdr:rowOff>1425486</xdr:rowOff>
    </xdr:to>
    <xdr:sp macro="" textlink="">
      <xdr:nvSpPr>
        <xdr:cNvPr id="210" name="Овал 20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37015" y="449017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908637</xdr:colOff>
      <xdr:row>31</xdr:row>
      <xdr:rowOff>719885</xdr:rowOff>
    </xdr:from>
    <xdr:to>
      <xdr:col>3</xdr:col>
      <xdr:colOff>980637</xdr:colOff>
      <xdr:row>31</xdr:row>
      <xdr:rowOff>791885</xdr:rowOff>
    </xdr:to>
    <xdr:sp macro="" textlink="">
      <xdr:nvSpPr>
        <xdr:cNvPr id="211" name="5-конечная звезда 21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1687" y="4426818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693965</xdr:colOff>
      <xdr:row>25</xdr:row>
      <xdr:rowOff>1367093</xdr:rowOff>
    </xdr:from>
    <xdr:to>
      <xdr:col>3</xdr:col>
      <xdr:colOff>765965</xdr:colOff>
      <xdr:row>25</xdr:row>
      <xdr:rowOff>1439093</xdr:rowOff>
    </xdr:to>
    <xdr:sp macro="" textlink="">
      <xdr:nvSpPr>
        <xdr:cNvPr id="213" name="Овал 21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37015" y="3577139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818990</xdr:colOff>
      <xdr:row>25</xdr:row>
      <xdr:rowOff>789521</xdr:rowOff>
    </xdr:from>
    <xdr:to>
      <xdr:col>3</xdr:col>
      <xdr:colOff>890990</xdr:colOff>
      <xdr:row>25</xdr:row>
      <xdr:rowOff>861521</xdr:rowOff>
    </xdr:to>
    <xdr:sp macro="" textlink="">
      <xdr:nvSpPr>
        <xdr:cNvPr id="214" name="5-конечная звезда 21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365402" y="3521399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843643</xdr:colOff>
      <xdr:row>25</xdr:row>
      <xdr:rowOff>272141</xdr:rowOff>
    </xdr:from>
    <xdr:to>
      <xdr:col>5</xdr:col>
      <xdr:colOff>163174</xdr:colOff>
      <xdr:row>25</xdr:row>
      <xdr:rowOff>891266</xdr:rowOff>
    </xdr:to>
    <xdr:pic>
      <xdr:nvPicPr>
        <xdr:cNvPr id="215" name="Рисунок 214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7843" y="34676441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952499</xdr:colOff>
      <xdr:row>25</xdr:row>
      <xdr:rowOff>952498</xdr:rowOff>
    </xdr:from>
    <xdr:to>
      <xdr:col>5</xdr:col>
      <xdr:colOff>88445</xdr:colOff>
      <xdr:row>25</xdr:row>
      <xdr:rowOff>1104898</xdr:rowOff>
    </xdr:to>
    <xdr:sp macro="" textlink="">
      <xdr:nvSpPr>
        <xdr:cNvPr id="216" name="Скругленный прямоугольник 215"/>
        <xdr:cNvSpPr/>
      </xdr:nvSpPr>
      <xdr:spPr>
        <a:xfrm>
          <a:off x="4076699" y="35356798"/>
          <a:ext cx="517071" cy="152400"/>
        </a:xfrm>
        <a:prstGeom prst="round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000" b="1">
              <a:solidFill>
                <a:sysClr val="windowText" lastClr="000000"/>
              </a:solidFill>
            </a:rPr>
            <a:t>150</a:t>
          </a:r>
          <a:r>
            <a:rPr lang="en-US" sz="1000" b="1">
              <a:solidFill>
                <a:sysClr val="windowText" lastClr="000000"/>
              </a:solidFill>
            </a:rPr>
            <a:t> </a:t>
          </a:r>
          <a:r>
            <a:rPr lang="ru-RU" sz="1000" b="1">
              <a:solidFill>
                <a:sysClr val="windowText" lastClr="000000"/>
              </a:solidFill>
            </a:rPr>
            <a:t>м</a:t>
          </a:r>
        </a:p>
      </xdr:txBody>
    </xdr:sp>
    <xdr:clientData/>
  </xdr:twoCellAnchor>
  <xdr:twoCellAnchor>
    <xdr:from>
      <xdr:col>4</xdr:col>
      <xdr:colOff>462643</xdr:colOff>
      <xdr:row>26</xdr:row>
      <xdr:rowOff>491751</xdr:rowOff>
    </xdr:from>
    <xdr:to>
      <xdr:col>5</xdr:col>
      <xdr:colOff>577022</xdr:colOff>
      <xdr:row>26</xdr:row>
      <xdr:rowOff>882276</xdr:rowOff>
    </xdr:to>
    <xdr:sp macro="" textlink="">
      <xdr:nvSpPr>
        <xdr:cNvPr id="217" name="Прямоугольник 216"/>
        <xdr:cNvSpPr/>
      </xdr:nvSpPr>
      <xdr:spPr>
        <a:xfrm>
          <a:off x="3586843" y="36420051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469291</xdr:colOff>
      <xdr:row>26</xdr:row>
      <xdr:rowOff>489858</xdr:rowOff>
    </xdr:from>
    <xdr:to>
      <xdr:col>5</xdr:col>
      <xdr:colOff>567262</xdr:colOff>
      <xdr:row>26</xdr:row>
      <xdr:rowOff>881743</xdr:rowOff>
    </xdr:to>
    <xdr:cxnSp macro="">
      <xdr:nvCxnSpPr>
        <xdr:cNvPr id="218" name="Прямая соединительная линия 217"/>
        <xdr:cNvCxnSpPr/>
      </xdr:nvCxnSpPr>
      <xdr:spPr>
        <a:xfrm flipV="1">
          <a:off x="3593491" y="36418158"/>
          <a:ext cx="1479096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462643</xdr:colOff>
      <xdr:row>27</xdr:row>
      <xdr:rowOff>600608</xdr:rowOff>
    </xdr:from>
    <xdr:to>
      <xdr:col>5</xdr:col>
      <xdr:colOff>577022</xdr:colOff>
      <xdr:row>27</xdr:row>
      <xdr:rowOff>991133</xdr:rowOff>
    </xdr:to>
    <xdr:sp macro="" textlink="">
      <xdr:nvSpPr>
        <xdr:cNvPr id="219" name="Прямоугольник 218"/>
        <xdr:cNvSpPr/>
      </xdr:nvSpPr>
      <xdr:spPr>
        <a:xfrm>
          <a:off x="3586843" y="38052908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469291</xdr:colOff>
      <xdr:row>27</xdr:row>
      <xdr:rowOff>598715</xdr:rowOff>
    </xdr:from>
    <xdr:to>
      <xdr:col>5</xdr:col>
      <xdr:colOff>567262</xdr:colOff>
      <xdr:row>27</xdr:row>
      <xdr:rowOff>990600</xdr:rowOff>
    </xdr:to>
    <xdr:cxnSp macro="">
      <xdr:nvCxnSpPr>
        <xdr:cNvPr id="220" name="Прямая соединительная линия 219"/>
        <xdr:cNvCxnSpPr/>
      </xdr:nvCxnSpPr>
      <xdr:spPr>
        <a:xfrm flipV="1">
          <a:off x="3593491" y="38051015"/>
          <a:ext cx="1479096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734958</xdr:colOff>
      <xdr:row>26</xdr:row>
      <xdr:rowOff>54428</xdr:rowOff>
    </xdr:from>
    <xdr:to>
      <xdr:col>3</xdr:col>
      <xdr:colOff>734958</xdr:colOff>
      <xdr:row>26</xdr:row>
      <xdr:rowOff>1343968</xdr:rowOff>
    </xdr:to>
    <xdr:cxnSp macro="">
      <xdr:nvCxnSpPr>
        <xdr:cNvPr id="221" name="Прямая со стрелкой 22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8008" y="35982728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693965</xdr:colOff>
      <xdr:row>26</xdr:row>
      <xdr:rowOff>1326272</xdr:rowOff>
    </xdr:from>
    <xdr:to>
      <xdr:col>3</xdr:col>
      <xdr:colOff>765965</xdr:colOff>
      <xdr:row>26</xdr:row>
      <xdr:rowOff>1398272</xdr:rowOff>
    </xdr:to>
    <xdr:sp macro="" textlink="">
      <xdr:nvSpPr>
        <xdr:cNvPr id="222" name="Овал 22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37015" y="3725457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908637</xdr:colOff>
      <xdr:row>26</xdr:row>
      <xdr:rowOff>692671</xdr:rowOff>
    </xdr:from>
    <xdr:to>
      <xdr:col>3</xdr:col>
      <xdr:colOff>980637</xdr:colOff>
      <xdr:row>26</xdr:row>
      <xdr:rowOff>764671</xdr:rowOff>
    </xdr:to>
    <xdr:sp macro="" textlink="">
      <xdr:nvSpPr>
        <xdr:cNvPr id="223" name="5-конечная звезда 222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1687" y="3662097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734958</xdr:colOff>
      <xdr:row>27</xdr:row>
      <xdr:rowOff>68035</xdr:rowOff>
    </xdr:from>
    <xdr:to>
      <xdr:col>3</xdr:col>
      <xdr:colOff>734958</xdr:colOff>
      <xdr:row>27</xdr:row>
      <xdr:rowOff>1357575</xdr:rowOff>
    </xdr:to>
    <xdr:cxnSp macro="">
      <xdr:nvCxnSpPr>
        <xdr:cNvPr id="224" name="Прямая со стрелкой 22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8008" y="37520335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693965</xdr:colOff>
      <xdr:row>27</xdr:row>
      <xdr:rowOff>1339879</xdr:rowOff>
    </xdr:from>
    <xdr:to>
      <xdr:col>3</xdr:col>
      <xdr:colOff>765965</xdr:colOff>
      <xdr:row>27</xdr:row>
      <xdr:rowOff>1411879</xdr:rowOff>
    </xdr:to>
    <xdr:sp macro="" textlink="">
      <xdr:nvSpPr>
        <xdr:cNvPr id="225" name="Овал 22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37015" y="3879217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908637</xdr:colOff>
      <xdr:row>27</xdr:row>
      <xdr:rowOff>706278</xdr:rowOff>
    </xdr:from>
    <xdr:to>
      <xdr:col>3</xdr:col>
      <xdr:colOff>980637</xdr:colOff>
      <xdr:row>27</xdr:row>
      <xdr:rowOff>778278</xdr:rowOff>
    </xdr:to>
    <xdr:sp macro="" textlink="">
      <xdr:nvSpPr>
        <xdr:cNvPr id="226" name="5-конечная звезда 225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1687" y="3815857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734958</xdr:colOff>
      <xdr:row>28</xdr:row>
      <xdr:rowOff>81642</xdr:rowOff>
    </xdr:from>
    <xdr:to>
      <xdr:col>3</xdr:col>
      <xdr:colOff>734958</xdr:colOff>
      <xdr:row>28</xdr:row>
      <xdr:rowOff>1371182</xdr:rowOff>
    </xdr:to>
    <xdr:cxnSp macro="">
      <xdr:nvCxnSpPr>
        <xdr:cNvPr id="227" name="Прямая со стрелкой 22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8008" y="39057942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693965</xdr:colOff>
      <xdr:row>28</xdr:row>
      <xdr:rowOff>1353486</xdr:rowOff>
    </xdr:from>
    <xdr:to>
      <xdr:col>3</xdr:col>
      <xdr:colOff>765965</xdr:colOff>
      <xdr:row>28</xdr:row>
      <xdr:rowOff>1425486</xdr:rowOff>
    </xdr:to>
    <xdr:sp macro="" textlink="">
      <xdr:nvSpPr>
        <xdr:cNvPr id="228" name="Овал 22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37015" y="403297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737510</xdr:colOff>
      <xdr:row>28</xdr:row>
      <xdr:rowOff>541735</xdr:rowOff>
    </xdr:from>
    <xdr:to>
      <xdr:col>3</xdr:col>
      <xdr:colOff>1476375</xdr:colOff>
      <xdr:row>28</xdr:row>
      <xdr:rowOff>818393</xdr:rowOff>
    </xdr:to>
    <xdr:cxnSp macro="">
      <xdr:nvCxnSpPr>
        <xdr:cNvPr id="229" name="Прямая со стрелкой 22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80560" y="39518035"/>
          <a:ext cx="738865" cy="27665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830207</xdr:colOff>
      <xdr:row>29</xdr:row>
      <xdr:rowOff>54428</xdr:rowOff>
    </xdr:from>
    <xdr:to>
      <xdr:col>3</xdr:col>
      <xdr:colOff>830207</xdr:colOff>
      <xdr:row>29</xdr:row>
      <xdr:rowOff>1343968</xdr:rowOff>
    </xdr:to>
    <xdr:cxnSp macro="">
      <xdr:nvCxnSpPr>
        <xdr:cNvPr id="230" name="Прямая со стрелкой 22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73257" y="40554728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789214</xdr:colOff>
      <xdr:row>29</xdr:row>
      <xdr:rowOff>1326272</xdr:rowOff>
    </xdr:from>
    <xdr:to>
      <xdr:col>3</xdr:col>
      <xdr:colOff>861214</xdr:colOff>
      <xdr:row>29</xdr:row>
      <xdr:rowOff>1398272</xdr:rowOff>
    </xdr:to>
    <xdr:sp macro="" textlink="">
      <xdr:nvSpPr>
        <xdr:cNvPr id="231" name="Овал 23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32264" y="4182657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459601</xdr:colOff>
      <xdr:row>29</xdr:row>
      <xdr:rowOff>719885</xdr:rowOff>
    </xdr:from>
    <xdr:to>
      <xdr:col>3</xdr:col>
      <xdr:colOff>531601</xdr:colOff>
      <xdr:row>29</xdr:row>
      <xdr:rowOff>791885</xdr:rowOff>
    </xdr:to>
    <xdr:sp macro="" textlink="">
      <xdr:nvSpPr>
        <xdr:cNvPr id="232" name="5-конечная звезда 231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002651" y="4122018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526676</xdr:colOff>
      <xdr:row>29</xdr:row>
      <xdr:rowOff>310842</xdr:rowOff>
    </xdr:from>
    <xdr:to>
      <xdr:col>4</xdr:col>
      <xdr:colOff>684519</xdr:colOff>
      <xdr:row>29</xdr:row>
      <xdr:rowOff>497574</xdr:rowOff>
    </xdr:to>
    <xdr:sp macro="" textlink="">
      <xdr:nvSpPr>
        <xdr:cNvPr id="233" name="Стрелка вправо 232"/>
        <xdr:cNvSpPr/>
      </xdr:nvSpPr>
      <xdr:spPr>
        <a:xfrm flipH="1">
          <a:off x="3650876" y="40811142"/>
          <a:ext cx="157843" cy="186732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630521</xdr:colOff>
      <xdr:row>29</xdr:row>
      <xdr:rowOff>461037</xdr:rowOff>
    </xdr:from>
    <xdr:to>
      <xdr:col>3</xdr:col>
      <xdr:colOff>827943</xdr:colOff>
      <xdr:row>29</xdr:row>
      <xdr:rowOff>1245577</xdr:rowOff>
    </xdr:to>
    <xdr:sp macro="" textlink="">
      <xdr:nvSpPr>
        <xdr:cNvPr id="234" name="Полилиния 233"/>
        <xdr:cNvSpPr/>
      </xdr:nvSpPr>
      <xdr:spPr>
        <a:xfrm>
          <a:off x="2173571" y="40961337"/>
          <a:ext cx="197422" cy="784540"/>
        </a:xfrm>
        <a:custGeom>
          <a:avLst/>
          <a:gdLst>
            <a:gd name="connsiteX0" fmla="*/ 240167 w 240167"/>
            <a:gd name="connsiteY0" fmla="*/ 315574 h 447458"/>
            <a:gd name="connsiteX1" fmla="*/ 210859 w 240167"/>
            <a:gd name="connsiteY1" fmla="*/ 88439 h 447458"/>
            <a:gd name="connsiteX2" fmla="*/ 86302 w 240167"/>
            <a:gd name="connsiteY2" fmla="*/ 516 h 447458"/>
            <a:gd name="connsiteX3" fmla="*/ 5706 w 240167"/>
            <a:gd name="connsiteY3" fmla="*/ 59132 h 447458"/>
            <a:gd name="connsiteX4" fmla="*/ 20359 w 240167"/>
            <a:gd name="connsiteY4" fmla="*/ 198343 h 447458"/>
            <a:gd name="connsiteX5" fmla="*/ 130263 w 240167"/>
            <a:gd name="connsiteY5" fmla="*/ 271612 h 447458"/>
            <a:gd name="connsiteX6" fmla="*/ 152244 w 240167"/>
            <a:gd name="connsiteY6" fmla="*/ 447458 h 447458"/>
            <a:gd name="connsiteX0" fmla="*/ 240167 w 240167"/>
            <a:gd name="connsiteY0" fmla="*/ 315574 h 806477"/>
            <a:gd name="connsiteX1" fmla="*/ 210859 w 240167"/>
            <a:gd name="connsiteY1" fmla="*/ 88439 h 806477"/>
            <a:gd name="connsiteX2" fmla="*/ 86302 w 240167"/>
            <a:gd name="connsiteY2" fmla="*/ 516 h 806477"/>
            <a:gd name="connsiteX3" fmla="*/ 5706 w 240167"/>
            <a:gd name="connsiteY3" fmla="*/ 59132 h 806477"/>
            <a:gd name="connsiteX4" fmla="*/ 20359 w 240167"/>
            <a:gd name="connsiteY4" fmla="*/ 198343 h 806477"/>
            <a:gd name="connsiteX5" fmla="*/ 130263 w 240167"/>
            <a:gd name="connsiteY5" fmla="*/ 271612 h 806477"/>
            <a:gd name="connsiteX6" fmla="*/ 144917 w 240167"/>
            <a:gd name="connsiteY6" fmla="*/ 806477 h 806477"/>
            <a:gd name="connsiteX0" fmla="*/ 234689 w 234689"/>
            <a:gd name="connsiteY0" fmla="*/ 315543 h 806446"/>
            <a:gd name="connsiteX1" fmla="*/ 205381 w 234689"/>
            <a:gd name="connsiteY1" fmla="*/ 88408 h 806446"/>
            <a:gd name="connsiteX2" fmla="*/ 80824 w 234689"/>
            <a:gd name="connsiteY2" fmla="*/ 485 h 806446"/>
            <a:gd name="connsiteX3" fmla="*/ 228 w 234689"/>
            <a:gd name="connsiteY3" fmla="*/ 59101 h 806446"/>
            <a:gd name="connsiteX4" fmla="*/ 58842 w 234689"/>
            <a:gd name="connsiteY4" fmla="*/ 183658 h 806446"/>
            <a:gd name="connsiteX5" fmla="*/ 124785 w 234689"/>
            <a:gd name="connsiteY5" fmla="*/ 271581 h 806446"/>
            <a:gd name="connsiteX6" fmla="*/ 139439 w 234689"/>
            <a:gd name="connsiteY6" fmla="*/ 806446 h 806446"/>
            <a:gd name="connsiteX0" fmla="*/ 236672 w 236672"/>
            <a:gd name="connsiteY0" fmla="*/ 315543 h 806446"/>
            <a:gd name="connsiteX1" fmla="*/ 207364 w 236672"/>
            <a:gd name="connsiteY1" fmla="*/ 88408 h 806446"/>
            <a:gd name="connsiteX2" fmla="*/ 141422 w 236672"/>
            <a:gd name="connsiteY2" fmla="*/ 485 h 806446"/>
            <a:gd name="connsiteX3" fmla="*/ 2211 w 236672"/>
            <a:gd name="connsiteY3" fmla="*/ 59101 h 806446"/>
            <a:gd name="connsiteX4" fmla="*/ 60825 w 236672"/>
            <a:gd name="connsiteY4" fmla="*/ 183658 h 806446"/>
            <a:gd name="connsiteX5" fmla="*/ 126768 w 236672"/>
            <a:gd name="connsiteY5" fmla="*/ 271581 h 806446"/>
            <a:gd name="connsiteX6" fmla="*/ 141422 w 236672"/>
            <a:gd name="connsiteY6" fmla="*/ 806446 h 806446"/>
            <a:gd name="connsiteX0" fmla="*/ 202161 w 202161"/>
            <a:gd name="connsiteY0" fmla="*/ 315298 h 806201"/>
            <a:gd name="connsiteX1" fmla="*/ 172853 w 202161"/>
            <a:gd name="connsiteY1" fmla="*/ 88163 h 806201"/>
            <a:gd name="connsiteX2" fmla="*/ 106911 w 202161"/>
            <a:gd name="connsiteY2" fmla="*/ 240 h 806201"/>
            <a:gd name="connsiteX3" fmla="*/ 4334 w 202161"/>
            <a:gd name="connsiteY3" fmla="*/ 66183 h 806201"/>
            <a:gd name="connsiteX4" fmla="*/ 26314 w 202161"/>
            <a:gd name="connsiteY4" fmla="*/ 183413 h 806201"/>
            <a:gd name="connsiteX5" fmla="*/ 92257 w 202161"/>
            <a:gd name="connsiteY5" fmla="*/ 271336 h 806201"/>
            <a:gd name="connsiteX6" fmla="*/ 106911 w 202161"/>
            <a:gd name="connsiteY6" fmla="*/ 806201 h 806201"/>
            <a:gd name="connsiteX0" fmla="*/ 201667 w 201667"/>
            <a:gd name="connsiteY0" fmla="*/ 359147 h 850050"/>
            <a:gd name="connsiteX1" fmla="*/ 172359 w 201667"/>
            <a:gd name="connsiteY1" fmla="*/ 132012 h 850050"/>
            <a:gd name="connsiteX2" fmla="*/ 99090 w 201667"/>
            <a:gd name="connsiteY2" fmla="*/ 128 h 850050"/>
            <a:gd name="connsiteX3" fmla="*/ 3840 w 201667"/>
            <a:gd name="connsiteY3" fmla="*/ 110032 h 850050"/>
            <a:gd name="connsiteX4" fmla="*/ 25820 w 201667"/>
            <a:gd name="connsiteY4" fmla="*/ 227262 h 850050"/>
            <a:gd name="connsiteX5" fmla="*/ 91763 w 201667"/>
            <a:gd name="connsiteY5" fmla="*/ 315185 h 850050"/>
            <a:gd name="connsiteX6" fmla="*/ 106417 w 201667"/>
            <a:gd name="connsiteY6" fmla="*/ 850050 h 850050"/>
            <a:gd name="connsiteX0" fmla="*/ 201667 w 201667"/>
            <a:gd name="connsiteY0" fmla="*/ 360368 h 851271"/>
            <a:gd name="connsiteX1" fmla="*/ 172359 w 201667"/>
            <a:gd name="connsiteY1" fmla="*/ 133233 h 851271"/>
            <a:gd name="connsiteX2" fmla="*/ 99090 w 201667"/>
            <a:gd name="connsiteY2" fmla="*/ 1349 h 851271"/>
            <a:gd name="connsiteX3" fmla="*/ 3840 w 201667"/>
            <a:gd name="connsiteY3" fmla="*/ 74618 h 851271"/>
            <a:gd name="connsiteX4" fmla="*/ 25820 w 201667"/>
            <a:gd name="connsiteY4" fmla="*/ 228483 h 851271"/>
            <a:gd name="connsiteX5" fmla="*/ 91763 w 201667"/>
            <a:gd name="connsiteY5" fmla="*/ 316406 h 851271"/>
            <a:gd name="connsiteX6" fmla="*/ 106417 w 201667"/>
            <a:gd name="connsiteY6" fmla="*/ 851271 h 851271"/>
            <a:gd name="connsiteX0" fmla="*/ 201667 w 201667"/>
            <a:gd name="connsiteY0" fmla="*/ 359019 h 849922"/>
            <a:gd name="connsiteX1" fmla="*/ 172359 w 201667"/>
            <a:gd name="connsiteY1" fmla="*/ 73269 h 849922"/>
            <a:gd name="connsiteX2" fmla="*/ 99090 w 201667"/>
            <a:gd name="connsiteY2" fmla="*/ 0 h 849922"/>
            <a:gd name="connsiteX3" fmla="*/ 3840 w 201667"/>
            <a:gd name="connsiteY3" fmla="*/ 73269 h 849922"/>
            <a:gd name="connsiteX4" fmla="*/ 25820 w 201667"/>
            <a:gd name="connsiteY4" fmla="*/ 227134 h 849922"/>
            <a:gd name="connsiteX5" fmla="*/ 91763 w 201667"/>
            <a:gd name="connsiteY5" fmla="*/ 315057 h 849922"/>
            <a:gd name="connsiteX6" fmla="*/ 106417 w 201667"/>
            <a:gd name="connsiteY6" fmla="*/ 849922 h 849922"/>
            <a:gd name="connsiteX0" fmla="*/ 205815 w 205815"/>
            <a:gd name="connsiteY0" fmla="*/ 359019 h 849922"/>
            <a:gd name="connsiteX1" fmla="*/ 176507 w 205815"/>
            <a:gd name="connsiteY1" fmla="*/ 73269 h 849922"/>
            <a:gd name="connsiteX2" fmla="*/ 103238 w 205815"/>
            <a:gd name="connsiteY2" fmla="*/ 0 h 849922"/>
            <a:gd name="connsiteX3" fmla="*/ 7988 w 205815"/>
            <a:gd name="connsiteY3" fmla="*/ 73269 h 849922"/>
            <a:gd name="connsiteX4" fmla="*/ 15314 w 205815"/>
            <a:gd name="connsiteY4" fmla="*/ 190500 h 849922"/>
            <a:gd name="connsiteX5" fmla="*/ 95911 w 205815"/>
            <a:gd name="connsiteY5" fmla="*/ 315057 h 849922"/>
            <a:gd name="connsiteX6" fmla="*/ 110565 w 205815"/>
            <a:gd name="connsiteY6" fmla="*/ 849922 h 849922"/>
            <a:gd name="connsiteX0" fmla="*/ 205815 w 205815"/>
            <a:gd name="connsiteY0" fmla="*/ 309537 h 800440"/>
            <a:gd name="connsiteX1" fmla="*/ 176507 w 205815"/>
            <a:gd name="connsiteY1" fmla="*/ 23787 h 800440"/>
            <a:gd name="connsiteX2" fmla="*/ 103238 w 205815"/>
            <a:gd name="connsiteY2" fmla="*/ 16460 h 800440"/>
            <a:gd name="connsiteX3" fmla="*/ 7988 w 205815"/>
            <a:gd name="connsiteY3" fmla="*/ 23787 h 800440"/>
            <a:gd name="connsiteX4" fmla="*/ 15314 w 205815"/>
            <a:gd name="connsiteY4" fmla="*/ 141018 h 800440"/>
            <a:gd name="connsiteX5" fmla="*/ 95911 w 205815"/>
            <a:gd name="connsiteY5" fmla="*/ 265575 h 800440"/>
            <a:gd name="connsiteX6" fmla="*/ 110565 w 205815"/>
            <a:gd name="connsiteY6" fmla="*/ 800440 h 800440"/>
            <a:gd name="connsiteX0" fmla="*/ 205815 w 205815"/>
            <a:gd name="connsiteY0" fmla="*/ 300424 h 791327"/>
            <a:gd name="connsiteX1" fmla="*/ 147199 w 205815"/>
            <a:gd name="connsiteY1" fmla="*/ 65962 h 791327"/>
            <a:gd name="connsiteX2" fmla="*/ 103238 w 205815"/>
            <a:gd name="connsiteY2" fmla="*/ 7347 h 791327"/>
            <a:gd name="connsiteX3" fmla="*/ 7988 w 205815"/>
            <a:gd name="connsiteY3" fmla="*/ 14674 h 791327"/>
            <a:gd name="connsiteX4" fmla="*/ 15314 w 205815"/>
            <a:gd name="connsiteY4" fmla="*/ 131905 h 791327"/>
            <a:gd name="connsiteX5" fmla="*/ 95911 w 205815"/>
            <a:gd name="connsiteY5" fmla="*/ 256462 h 791327"/>
            <a:gd name="connsiteX6" fmla="*/ 110565 w 205815"/>
            <a:gd name="connsiteY6" fmla="*/ 791327 h 791327"/>
            <a:gd name="connsiteX0" fmla="*/ 197422 w 197422"/>
            <a:gd name="connsiteY0" fmla="*/ 293240 h 784143"/>
            <a:gd name="connsiteX1" fmla="*/ 138806 w 197422"/>
            <a:gd name="connsiteY1" fmla="*/ 58778 h 784143"/>
            <a:gd name="connsiteX2" fmla="*/ 94845 w 197422"/>
            <a:gd name="connsiteY2" fmla="*/ 163 h 784143"/>
            <a:gd name="connsiteX3" fmla="*/ 14249 w 197422"/>
            <a:gd name="connsiteY3" fmla="*/ 44124 h 784143"/>
            <a:gd name="connsiteX4" fmla="*/ 6921 w 197422"/>
            <a:gd name="connsiteY4" fmla="*/ 124721 h 784143"/>
            <a:gd name="connsiteX5" fmla="*/ 87518 w 197422"/>
            <a:gd name="connsiteY5" fmla="*/ 249278 h 784143"/>
            <a:gd name="connsiteX6" fmla="*/ 102172 w 197422"/>
            <a:gd name="connsiteY6" fmla="*/ 784143 h 784143"/>
            <a:gd name="connsiteX0" fmla="*/ 197422 w 197422"/>
            <a:gd name="connsiteY0" fmla="*/ 293637 h 784540"/>
            <a:gd name="connsiteX1" fmla="*/ 168114 w 197422"/>
            <a:gd name="connsiteY1" fmla="*/ 73829 h 784540"/>
            <a:gd name="connsiteX2" fmla="*/ 94845 w 197422"/>
            <a:gd name="connsiteY2" fmla="*/ 560 h 784540"/>
            <a:gd name="connsiteX3" fmla="*/ 14249 w 197422"/>
            <a:gd name="connsiteY3" fmla="*/ 44521 h 784540"/>
            <a:gd name="connsiteX4" fmla="*/ 6921 w 197422"/>
            <a:gd name="connsiteY4" fmla="*/ 125118 h 784540"/>
            <a:gd name="connsiteX5" fmla="*/ 87518 w 197422"/>
            <a:gd name="connsiteY5" fmla="*/ 249675 h 784540"/>
            <a:gd name="connsiteX6" fmla="*/ 102172 w 197422"/>
            <a:gd name="connsiteY6" fmla="*/ 784540 h 784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97422" h="784540">
              <a:moveTo>
                <a:pt x="197422" y="293637"/>
              </a:moveTo>
              <a:cubicBezTo>
                <a:pt x="195590" y="206324"/>
                <a:pt x="185210" y="122675"/>
                <a:pt x="168114" y="73829"/>
              </a:cubicBezTo>
              <a:cubicBezTo>
                <a:pt x="151018" y="24983"/>
                <a:pt x="120489" y="5445"/>
                <a:pt x="94845" y="560"/>
              </a:cubicBezTo>
              <a:cubicBezTo>
                <a:pt x="69201" y="-4325"/>
                <a:pt x="28903" y="23761"/>
                <a:pt x="14249" y="44521"/>
              </a:cubicBezTo>
              <a:cubicBezTo>
                <a:pt x="-405" y="65281"/>
                <a:pt x="-5290" y="90926"/>
                <a:pt x="6921" y="125118"/>
              </a:cubicBezTo>
              <a:cubicBezTo>
                <a:pt x="19132" y="159310"/>
                <a:pt x="71643" y="139771"/>
                <a:pt x="87518" y="249675"/>
              </a:cubicBezTo>
              <a:cubicBezTo>
                <a:pt x="103393" y="359579"/>
                <a:pt x="102172" y="717376"/>
                <a:pt x="102172" y="78454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151086</xdr:colOff>
      <xdr:row>30</xdr:row>
      <xdr:rowOff>514992</xdr:rowOff>
    </xdr:from>
    <xdr:to>
      <xdr:col>3</xdr:col>
      <xdr:colOff>1478519</xdr:colOff>
      <xdr:row>30</xdr:row>
      <xdr:rowOff>1019284</xdr:rowOff>
    </xdr:to>
    <xdr:cxnSp macro="">
      <xdr:nvCxnSpPr>
        <xdr:cNvPr id="235" name="Прямая со стрелкой 23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94136" y="42539292"/>
          <a:ext cx="1327433" cy="50429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700263</xdr:colOff>
      <xdr:row>30</xdr:row>
      <xdr:rowOff>1371773</xdr:rowOff>
    </xdr:from>
    <xdr:to>
      <xdr:col>3</xdr:col>
      <xdr:colOff>772263</xdr:colOff>
      <xdr:row>30</xdr:row>
      <xdr:rowOff>1443773</xdr:rowOff>
    </xdr:to>
    <xdr:sp macro="" textlink="">
      <xdr:nvSpPr>
        <xdr:cNvPr id="236" name="Овал 23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6648108">
          <a:off x="2243313" y="4339607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734958</xdr:colOff>
      <xdr:row>30</xdr:row>
      <xdr:rowOff>735725</xdr:rowOff>
    </xdr:from>
    <xdr:to>
      <xdr:col>3</xdr:col>
      <xdr:colOff>734958</xdr:colOff>
      <xdr:row>30</xdr:row>
      <xdr:rowOff>1397458</xdr:rowOff>
    </xdr:to>
    <xdr:cxnSp macro="">
      <xdr:nvCxnSpPr>
        <xdr:cNvPr id="237" name="Прямая со стрелкой 23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8008" y="42760025"/>
          <a:ext cx="0" cy="661733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1039305</xdr:colOff>
      <xdr:row>29</xdr:row>
      <xdr:rowOff>705204</xdr:rowOff>
    </xdr:from>
    <xdr:to>
      <xdr:col>5</xdr:col>
      <xdr:colOff>15142</xdr:colOff>
      <xdr:row>29</xdr:row>
      <xdr:rowOff>841250</xdr:rowOff>
    </xdr:to>
    <xdr:sp macro="" textlink="">
      <xdr:nvSpPr>
        <xdr:cNvPr id="238" name="Скругленный прямоугольник 237"/>
        <xdr:cNvSpPr/>
      </xdr:nvSpPr>
      <xdr:spPr>
        <a:xfrm>
          <a:off x="4163505" y="41205504"/>
          <a:ext cx="356962" cy="136046"/>
        </a:xfrm>
        <a:prstGeom prst="round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endParaRPr lang="ru-RU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968620</xdr:colOff>
      <xdr:row>29</xdr:row>
      <xdr:rowOff>200025</xdr:rowOff>
    </xdr:from>
    <xdr:to>
      <xdr:col>5</xdr:col>
      <xdr:colOff>85725</xdr:colOff>
      <xdr:row>29</xdr:row>
      <xdr:rowOff>663819</xdr:rowOff>
    </xdr:to>
    <xdr:sp macro="" textlink="">
      <xdr:nvSpPr>
        <xdr:cNvPr id="239" name="Равнобедренный треугольник 238"/>
        <xdr:cNvSpPr/>
      </xdr:nvSpPr>
      <xdr:spPr>
        <a:xfrm flipV="1">
          <a:off x="4092820" y="40700325"/>
          <a:ext cx="498230" cy="463794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  <a:effectLst>
          <a:softEdge rad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1215720</xdr:colOff>
      <xdr:row>29</xdr:row>
      <xdr:rowOff>316078</xdr:rowOff>
    </xdr:from>
    <xdr:to>
      <xdr:col>4</xdr:col>
      <xdr:colOff>1215720</xdr:colOff>
      <xdr:row>29</xdr:row>
      <xdr:rowOff>967038</xdr:rowOff>
    </xdr:to>
    <xdr:cxnSp macro="">
      <xdr:nvCxnSpPr>
        <xdr:cNvPr id="240" name="Прямая со стрелкой 23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4339920" y="40816378"/>
          <a:ext cx="0" cy="65096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1112135</xdr:colOff>
      <xdr:row>7</xdr:row>
      <xdr:rowOff>1129473</xdr:rowOff>
    </xdr:from>
    <xdr:to>
      <xdr:col>3</xdr:col>
      <xdr:colOff>1197531</xdr:colOff>
      <xdr:row>7</xdr:row>
      <xdr:rowOff>1214869</xdr:rowOff>
    </xdr:to>
    <xdr:sp macro="" textlink="">
      <xdr:nvSpPr>
        <xdr:cNvPr id="241" name="Прямоугольник 240"/>
        <xdr:cNvSpPr/>
      </xdr:nvSpPr>
      <xdr:spPr>
        <a:xfrm rot="2400000">
          <a:off x="2655185" y="8101773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4</xdr:col>
      <xdr:colOff>467591</xdr:colOff>
      <xdr:row>28</xdr:row>
      <xdr:rowOff>554182</xdr:rowOff>
    </xdr:from>
    <xdr:to>
      <xdr:col>5</xdr:col>
      <xdr:colOff>589316</xdr:colOff>
      <xdr:row>28</xdr:row>
      <xdr:rowOff>944707</xdr:rowOff>
    </xdr:to>
    <xdr:sp macro="" textlink="">
      <xdr:nvSpPr>
        <xdr:cNvPr id="242" name="Прямоугольник 241"/>
        <xdr:cNvSpPr/>
      </xdr:nvSpPr>
      <xdr:spPr>
        <a:xfrm>
          <a:off x="3591791" y="39530482"/>
          <a:ext cx="1502850" cy="390525"/>
        </a:xfrm>
        <a:prstGeom prst="rect">
          <a:avLst/>
        </a:prstGeom>
        <a:solidFill>
          <a:srgbClr val="0070C0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600" b="1">
              <a:solidFill>
                <a:schemeClr val="bg1"/>
              </a:solidFill>
            </a:rPr>
            <a:t>???</a:t>
          </a:r>
          <a:r>
            <a:rPr lang="ru-RU" sz="1600" b="1">
              <a:solidFill>
                <a:schemeClr val="bg1"/>
              </a:solidFill>
            </a:rPr>
            <a:t>         ?</a:t>
          </a:r>
        </a:p>
      </xdr:txBody>
    </xdr:sp>
    <xdr:clientData/>
  </xdr:twoCellAnchor>
  <xdr:twoCellAnchor>
    <xdr:from>
      <xdr:col>5</xdr:col>
      <xdr:colOff>323267</xdr:colOff>
      <xdr:row>28</xdr:row>
      <xdr:rowOff>672404</xdr:rowOff>
    </xdr:from>
    <xdr:to>
      <xdr:col>5</xdr:col>
      <xdr:colOff>481110</xdr:colOff>
      <xdr:row>28</xdr:row>
      <xdr:rowOff>859136</xdr:rowOff>
    </xdr:to>
    <xdr:sp macro="" textlink="">
      <xdr:nvSpPr>
        <xdr:cNvPr id="243" name="Стрелка вправо 242"/>
        <xdr:cNvSpPr/>
      </xdr:nvSpPr>
      <xdr:spPr>
        <a:xfrm>
          <a:off x="4828592" y="39648704"/>
          <a:ext cx="157843" cy="186732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874000</xdr:colOff>
      <xdr:row>28</xdr:row>
      <xdr:rowOff>896778</xdr:rowOff>
    </xdr:from>
    <xdr:to>
      <xdr:col>3</xdr:col>
      <xdr:colOff>946000</xdr:colOff>
      <xdr:row>28</xdr:row>
      <xdr:rowOff>968778</xdr:rowOff>
    </xdr:to>
    <xdr:sp macro="" textlink="">
      <xdr:nvSpPr>
        <xdr:cNvPr id="244" name="5-конечная звезда 24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17050" y="3987307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37</xdr:row>
      <xdr:rowOff>24545</xdr:rowOff>
    </xdr:from>
    <xdr:to>
      <xdr:col>3</xdr:col>
      <xdr:colOff>802515</xdr:colOff>
      <xdr:row>37</xdr:row>
      <xdr:rowOff>273844</xdr:rowOff>
    </xdr:to>
    <xdr:cxnSp macro="">
      <xdr:nvCxnSpPr>
        <xdr:cNvPr id="245" name="Прямая со стрелкой 24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2716845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37</xdr:row>
      <xdr:rowOff>399217</xdr:rowOff>
    </xdr:from>
    <xdr:to>
      <xdr:col>3</xdr:col>
      <xdr:colOff>839475</xdr:colOff>
      <xdr:row>37</xdr:row>
      <xdr:rowOff>471217</xdr:rowOff>
    </xdr:to>
    <xdr:sp macro="" textlink="">
      <xdr:nvSpPr>
        <xdr:cNvPr id="246" name="Овал 24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30915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37</xdr:row>
      <xdr:rowOff>273304</xdr:rowOff>
    </xdr:from>
    <xdr:to>
      <xdr:col>3</xdr:col>
      <xdr:colOff>802515</xdr:colOff>
      <xdr:row>37</xdr:row>
      <xdr:rowOff>440531</xdr:rowOff>
    </xdr:to>
    <xdr:cxnSp macro="">
      <xdr:nvCxnSpPr>
        <xdr:cNvPr id="247" name="Прямая со стрелкой 24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2965604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727408</xdr:colOff>
      <xdr:row>41</xdr:row>
      <xdr:rowOff>82825</xdr:rowOff>
    </xdr:from>
    <xdr:to>
      <xdr:col>4</xdr:col>
      <xdr:colOff>1074046</xdr:colOff>
      <xdr:row>41</xdr:row>
      <xdr:rowOff>422412</xdr:rowOff>
    </xdr:to>
    <xdr:sp macro="" textlink="">
      <xdr:nvSpPr>
        <xdr:cNvPr id="248" name="Овал 247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851608" y="54794425"/>
          <a:ext cx="346638" cy="339587"/>
        </a:xfrm>
        <a:prstGeom prst="ellipse">
          <a:avLst/>
        </a:prstGeom>
        <a:solidFill>
          <a:schemeClr val="bg1"/>
        </a:solidFill>
        <a:ln w="41275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60</a:t>
          </a:r>
        </a:p>
      </xdr:txBody>
    </xdr:sp>
    <xdr:clientData/>
  </xdr:twoCellAnchor>
  <xdr:twoCellAnchor>
    <xdr:from>
      <xdr:col>3</xdr:col>
      <xdr:colOff>791600</xdr:colOff>
      <xdr:row>43</xdr:row>
      <xdr:rowOff>58615</xdr:rowOff>
    </xdr:from>
    <xdr:to>
      <xdr:col>3</xdr:col>
      <xdr:colOff>961258</xdr:colOff>
      <xdr:row>43</xdr:row>
      <xdr:rowOff>449098</xdr:rowOff>
    </xdr:to>
    <xdr:sp macro="" textlink="">
      <xdr:nvSpPr>
        <xdr:cNvPr id="249" name="Полилиния 248"/>
        <xdr:cNvSpPr/>
      </xdr:nvSpPr>
      <xdr:spPr>
        <a:xfrm>
          <a:off x="2334650" y="55779865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681404</xdr:colOff>
      <xdr:row>43</xdr:row>
      <xdr:rowOff>153299</xdr:rowOff>
    </xdr:from>
    <xdr:to>
      <xdr:col>3</xdr:col>
      <xdr:colOff>809464</xdr:colOff>
      <xdr:row>43</xdr:row>
      <xdr:rowOff>256290</xdr:rowOff>
    </xdr:to>
    <xdr:cxnSp macro="">
      <xdr:nvCxnSpPr>
        <xdr:cNvPr id="250" name="Прямая со стрелкой 24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H="1" flipV="1">
          <a:off x="2224454" y="55874549"/>
          <a:ext cx="128060" cy="102991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759421</xdr:colOff>
      <xdr:row>43</xdr:row>
      <xdr:rowOff>397630</xdr:rowOff>
    </xdr:from>
    <xdr:to>
      <xdr:col>3</xdr:col>
      <xdr:colOff>831421</xdr:colOff>
      <xdr:row>43</xdr:row>
      <xdr:rowOff>469630</xdr:rowOff>
    </xdr:to>
    <xdr:sp macro="" textlink="">
      <xdr:nvSpPr>
        <xdr:cNvPr id="251" name="Овал 25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561188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548170</xdr:colOff>
      <xdr:row>47</xdr:row>
      <xdr:rowOff>218379</xdr:rowOff>
    </xdr:from>
    <xdr:to>
      <xdr:col>3</xdr:col>
      <xdr:colOff>1045430</xdr:colOff>
      <xdr:row>47</xdr:row>
      <xdr:rowOff>327257</xdr:rowOff>
    </xdr:to>
    <xdr:grpSp>
      <xdr:nvGrpSpPr>
        <xdr:cNvPr id="252" name="Группа 25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pSpPr/>
      </xdr:nvGrpSpPr>
      <xdr:grpSpPr>
        <a:xfrm rot="5400000">
          <a:off x="2288773" y="57779306"/>
          <a:ext cx="108878" cy="497260"/>
          <a:chOff x="2276355" y="169337185"/>
          <a:chExt cx="182327" cy="1037451"/>
        </a:xfrm>
      </xdr:grpSpPr>
      <xdr:cxnSp macro="">
        <xdr:nvCxnSpPr>
          <xdr:cNvPr id="253" name="Прямая со стрелкой 252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4" name="Прямая со стрелкой 253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5" name="Прямая со стрелкой 254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6" name="Прямая со стрелкой 255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7" name="Прямая со стрелкой 256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8" name="Прямая со стрелкой 257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9" name="Прямая со стрелкой 258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0" name="Прямая со стрелкой 259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1" name="Прямая со стрелкой 260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2" name="Прямая со стрелкой 261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3" name="Прямая со стрелкой 262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4" name="Прямая со стрелкой 263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5" name="Прямая со стрелкой 264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6" name="Прямая со стрелкой 265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7" name="Прямая со стрелкой 266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8" name="Прямая со стрелкой 267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9" name="Прямая со стрелкой 268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0" name="Прямая со стрелкой 269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1072226</xdr:colOff>
      <xdr:row>63</xdr:row>
      <xdr:rowOff>485391</xdr:rowOff>
    </xdr:from>
    <xdr:to>
      <xdr:col>3</xdr:col>
      <xdr:colOff>1123605</xdr:colOff>
      <xdr:row>63</xdr:row>
      <xdr:rowOff>865870</xdr:rowOff>
    </xdr:to>
    <xdr:grpSp>
      <xdr:nvGrpSpPr>
        <xdr:cNvPr id="271" name="Группа 270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pSpPr/>
      </xdr:nvGrpSpPr>
      <xdr:grpSpPr>
        <a:xfrm rot="-5400000">
          <a:off x="2454088" y="71571970"/>
          <a:ext cx="380479" cy="51379"/>
          <a:chOff x="744834" y="5046016"/>
          <a:chExt cx="380479" cy="51379"/>
        </a:xfrm>
      </xdr:grpSpPr>
      <xdr:cxnSp macro="">
        <xdr:nvCxnSpPr>
          <xdr:cNvPr id="272" name="Прямая со стрелкой 271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73" name="Овал 272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274" name="Овал 27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75" name="Прямая со стрелкой 27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1262857</xdr:colOff>
      <xdr:row>41</xdr:row>
      <xdr:rowOff>121315</xdr:rowOff>
    </xdr:from>
    <xdr:to>
      <xdr:col>5</xdr:col>
      <xdr:colOff>935937</xdr:colOff>
      <xdr:row>41</xdr:row>
      <xdr:rowOff>398540</xdr:rowOff>
    </xdr:to>
    <xdr:sp macro="" textlink="">
      <xdr:nvSpPr>
        <xdr:cNvPr id="276" name="Прямоугольник 275"/>
        <xdr:cNvSpPr/>
      </xdr:nvSpPr>
      <xdr:spPr>
        <a:xfrm>
          <a:off x="4387057" y="54832915"/>
          <a:ext cx="1054205" cy="2772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3</xdr:col>
      <xdr:colOff>767475</xdr:colOff>
      <xdr:row>38</xdr:row>
      <xdr:rowOff>399217</xdr:rowOff>
    </xdr:from>
    <xdr:to>
      <xdr:col>3</xdr:col>
      <xdr:colOff>839475</xdr:colOff>
      <xdr:row>38</xdr:row>
      <xdr:rowOff>471217</xdr:rowOff>
    </xdr:to>
    <xdr:sp macro="" textlink="">
      <xdr:nvSpPr>
        <xdr:cNvPr id="277" name="Овал 27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35963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812040</xdr:colOff>
      <xdr:row>38</xdr:row>
      <xdr:rowOff>273304</xdr:rowOff>
    </xdr:from>
    <xdr:to>
      <xdr:col>3</xdr:col>
      <xdr:colOff>812040</xdr:colOff>
      <xdr:row>38</xdr:row>
      <xdr:rowOff>440531</xdr:rowOff>
    </xdr:to>
    <xdr:cxnSp macro="">
      <xdr:nvCxnSpPr>
        <xdr:cNvPr id="278" name="Прямая со стрелкой 27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5090" y="53470429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39</xdr:row>
      <xdr:rowOff>24545</xdr:rowOff>
    </xdr:from>
    <xdr:to>
      <xdr:col>3</xdr:col>
      <xdr:colOff>802515</xdr:colOff>
      <xdr:row>39</xdr:row>
      <xdr:rowOff>273844</xdr:rowOff>
    </xdr:to>
    <xdr:cxnSp macro="">
      <xdr:nvCxnSpPr>
        <xdr:cNvPr id="279" name="Прямая со стрелкой 27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726495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39</xdr:row>
      <xdr:rowOff>399217</xdr:rowOff>
    </xdr:from>
    <xdr:to>
      <xdr:col>3</xdr:col>
      <xdr:colOff>839475</xdr:colOff>
      <xdr:row>39</xdr:row>
      <xdr:rowOff>471217</xdr:rowOff>
    </xdr:to>
    <xdr:sp macro="" textlink="">
      <xdr:nvSpPr>
        <xdr:cNvPr id="280" name="Овал 27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41011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39</xdr:row>
      <xdr:rowOff>273304</xdr:rowOff>
    </xdr:from>
    <xdr:to>
      <xdr:col>3</xdr:col>
      <xdr:colOff>802515</xdr:colOff>
      <xdr:row>39</xdr:row>
      <xdr:rowOff>440531</xdr:rowOff>
    </xdr:to>
    <xdr:cxnSp macro="">
      <xdr:nvCxnSpPr>
        <xdr:cNvPr id="281" name="Прямая со стрелкой 28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975254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40</xdr:row>
      <xdr:rowOff>24545</xdr:rowOff>
    </xdr:from>
    <xdr:to>
      <xdr:col>3</xdr:col>
      <xdr:colOff>802515</xdr:colOff>
      <xdr:row>40</xdr:row>
      <xdr:rowOff>273844</xdr:rowOff>
    </xdr:to>
    <xdr:cxnSp macro="">
      <xdr:nvCxnSpPr>
        <xdr:cNvPr id="282" name="Прямая со стрелкой 28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4231320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40</xdr:row>
      <xdr:rowOff>399217</xdr:rowOff>
    </xdr:from>
    <xdr:to>
      <xdr:col>3</xdr:col>
      <xdr:colOff>839475</xdr:colOff>
      <xdr:row>40</xdr:row>
      <xdr:rowOff>471217</xdr:rowOff>
    </xdr:to>
    <xdr:sp macro="" textlink="">
      <xdr:nvSpPr>
        <xdr:cNvPr id="283" name="Овал 28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46059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40</xdr:row>
      <xdr:rowOff>273304</xdr:rowOff>
    </xdr:from>
    <xdr:to>
      <xdr:col>3</xdr:col>
      <xdr:colOff>802515</xdr:colOff>
      <xdr:row>40</xdr:row>
      <xdr:rowOff>440531</xdr:rowOff>
    </xdr:to>
    <xdr:cxnSp macro="">
      <xdr:nvCxnSpPr>
        <xdr:cNvPr id="284" name="Прямая со стрелкой 28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4480079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41</xdr:row>
      <xdr:rowOff>24546</xdr:rowOff>
    </xdr:from>
    <xdr:to>
      <xdr:col>3</xdr:col>
      <xdr:colOff>802515</xdr:colOff>
      <xdr:row>41</xdr:row>
      <xdr:rowOff>441157</xdr:rowOff>
    </xdr:to>
    <xdr:cxnSp macro="">
      <xdr:nvCxnSpPr>
        <xdr:cNvPr id="285" name="Прямая со стрелкой 28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4736146"/>
          <a:ext cx="0" cy="416611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41</xdr:row>
      <xdr:rowOff>399217</xdr:rowOff>
    </xdr:from>
    <xdr:to>
      <xdr:col>3</xdr:col>
      <xdr:colOff>839475</xdr:colOff>
      <xdr:row>41</xdr:row>
      <xdr:rowOff>471217</xdr:rowOff>
    </xdr:to>
    <xdr:sp macro="" textlink="">
      <xdr:nvSpPr>
        <xdr:cNvPr id="286" name="Овал 28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51108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42</xdr:row>
      <xdr:rowOff>24545</xdr:rowOff>
    </xdr:from>
    <xdr:to>
      <xdr:col>3</xdr:col>
      <xdr:colOff>802515</xdr:colOff>
      <xdr:row>42</xdr:row>
      <xdr:rowOff>273844</xdr:rowOff>
    </xdr:to>
    <xdr:cxnSp macro="">
      <xdr:nvCxnSpPr>
        <xdr:cNvPr id="287" name="Прямая со стрелкой 28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5240970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42</xdr:row>
      <xdr:rowOff>399217</xdr:rowOff>
    </xdr:from>
    <xdr:to>
      <xdr:col>3</xdr:col>
      <xdr:colOff>839475</xdr:colOff>
      <xdr:row>42</xdr:row>
      <xdr:rowOff>471217</xdr:rowOff>
    </xdr:to>
    <xdr:sp macro="" textlink="">
      <xdr:nvSpPr>
        <xdr:cNvPr id="288" name="Овал 28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56156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42</xdr:row>
      <xdr:rowOff>273304</xdr:rowOff>
    </xdr:from>
    <xdr:to>
      <xdr:col>3</xdr:col>
      <xdr:colOff>802515</xdr:colOff>
      <xdr:row>42</xdr:row>
      <xdr:rowOff>440531</xdr:rowOff>
    </xdr:to>
    <xdr:cxnSp macro="">
      <xdr:nvCxnSpPr>
        <xdr:cNvPr id="289" name="Прямая со стрелкой 28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5489729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44</xdr:row>
      <xdr:rowOff>24546</xdr:rowOff>
    </xdr:from>
    <xdr:to>
      <xdr:col>3</xdr:col>
      <xdr:colOff>802515</xdr:colOff>
      <xdr:row>44</xdr:row>
      <xdr:rowOff>441157</xdr:rowOff>
    </xdr:to>
    <xdr:cxnSp macro="">
      <xdr:nvCxnSpPr>
        <xdr:cNvPr id="290" name="Прямая со стрелкой 28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6250621"/>
          <a:ext cx="0" cy="416611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44</xdr:row>
      <xdr:rowOff>399217</xdr:rowOff>
    </xdr:from>
    <xdr:to>
      <xdr:col>3</xdr:col>
      <xdr:colOff>839475</xdr:colOff>
      <xdr:row>44</xdr:row>
      <xdr:rowOff>471217</xdr:rowOff>
    </xdr:to>
    <xdr:sp macro="" textlink="">
      <xdr:nvSpPr>
        <xdr:cNvPr id="291" name="Овал 29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66252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1050374</xdr:colOff>
      <xdr:row>44</xdr:row>
      <xdr:rowOff>99335</xdr:rowOff>
    </xdr:from>
    <xdr:to>
      <xdr:col>5</xdr:col>
      <xdr:colOff>723454</xdr:colOff>
      <xdr:row>44</xdr:row>
      <xdr:rowOff>376560</xdr:rowOff>
    </xdr:to>
    <xdr:sp macro="" textlink="">
      <xdr:nvSpPr>
        <xdr:cNvPr id="292" name="Прямоугольник 291"/>
        <xdr:cNvSpPr/>
      </xdr:nvSpPr>
      <xdr:spPr>
        <a:xfrm>
          <a:off x="4174574" y="56325410"/>
          <a:ext cx="1054205" cy="2772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1061724</xdr:colOff>
      <xdr:row>44</xdr:row>
      <xdr:rowOff>106973</xdr:rowOff>
    </xdr:from>
    <xdr:to>
      <xdr:col>5</xdr:col>
      <xdr:colOff>718038</xdr:colOff>
      <xdr:row>44</xdr:row>
      <xdr:rowOff>365682</xdr:rowOff>
    </xdr:to>
    <xdr:cxnSp macro="">
      <xdr:nvCxnSpPr>
        <xdr:cNvPr id="293" name="Прямая соединительная линия 292"/>
        <xdr:cNvCxnSpPr/>
      </xdr:nvCxnSpPr>
      <xdr:spPr>
        <a:xfrm flipV="1">
          <a:off x="4185924" y="56333048"/>
          <a:ext cx="1037439" cy="25870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514925</xdr:colOff>
      <xdr:row>44</xdr:row>
      <xdr:rowOff>60845</xdr:rowOff>
    </xdr:from>
    <xdr:to>
      <xdr:col>4</xdr:col>
      <xdr:colOff>861563</xdr:colOff>
      <xdr:row>44</xdr:row>
      <xdr:rowOff>400432</xdr:rowOff>
    </xdr:to>
    <xdr:sp macro="" textlink="">
      <xdr:nvSpPr>
        <xdr:cNvPr id="294" name="Овал 293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639125" y="56286920"/>
          <a:ext cx="346638" cy="339587"/>
        </a:xfrm>
        <a:prstGeom prst="ellipse">
          <a:avLst/>
        </a:prstGeom>
        <a:solidFill>
          <a:schemeClr val="bg1"/>
        </a:solidFill>
        <a:ln w="41275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</a:p>
      </xdr:txBody>
    </xdr:sp>
    <xdr:clientData/>
  </xdr:twoCellAnchor>
  <xdr:twoCellAnchor>
    <xdr:from>
      <xdr:col>3</xdr:col>
      <xdr:colOff>802515</xdr:colOff>
      <xdr:row>45</xdr:row>
      <xdr:rowOff>24545</xdr:rowOff>
    </xdr:from>
    <xdr:to>
      <xdr:col>3</xdr:col>
      <xdr:colOff>802515</xdr:colOff>
      <xdr:row>45</xdr:row>
      <xdr:rowOff>273844</xdr:rowOff>
    </xdr:to>
    <xdr:cxnSp macro="">
      <xdr:nvCxnSpPr>
        <xdr:cNvPr id="295" name="Прямая со стрелкой 29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6755445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45</xdr:row>
      <xdr:rowOff>399217</xdr:rowOff>
    </xdr:from>
    <xdr:to>
      <xdr:col>3</xdr:col>
      <xdr:colOff>839475</xdr:colOff>
      <xdr:row>45</xdr:row>
      <xdr:rowOff>471217</xdr:rowOff>
    </xdr:to>
    <xdr:sp macro="" textlink="">
      <xdr:nvSpPr>
        <xdr:cNvPr id="296" name="Овал 29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71301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45</xdr:row>
      <xdr:rowOff>273304</xdr:rowOff>
    </xdr:from>
    <xdr:to>
      <xdr:col>3</xdr:col>
      <xdr:colOff>802515</xdr:colOff>
      <xdr:row>45</xdr:row>
      <xdr:rowOff>440531</xdr:rowOff>
    </xdr:to>
    <xdr:cxnSp macro="">
      <xdr:nvCxnSpPr>
        <xdr:cNvPr id="297" name="Прямая со стрелкой 29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7004204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1045270</xdr:colOff>
      <xdr:row>47</xdr:row>
      <xdr:rowOff>49696</xdr:rowOff>
    </xdr:from>
    <xdr:ext cx="387628" cy="389076"/>
    <xdr:pic>
      <xdr:nvPicPr>
        <xdr:cNvPr id="298" name="Рисунок 297" descr="Картинки по запросу знак стоп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470" y="57790246"/>
          <a:ext cx="387628" cy="389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802515</xdr:colOff>
      <xdr:row>47</xdr:row>
      <xdr:rowOff>24546</xdr:rowOff>
    </xdr:from>
    <xdr:to>
      <xdr:col>3</xdr:col>
      <xdr:colOff>802515</xdr:colOff>
      <xdr:row>47</xdr:row>
      <xdr:rowOff>441157</xdr:rowOff>
    </xdr:to>
    <xdr:cxnSp macro="">
      <xdr:nvCxnSpPr>
        <xdr:cNvPr id="299" name="Прямая со стрелкой 29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7765096"/>
          <a:ext cx="0" cy="416611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47</xdr:row>
      <xdr:rowOff>399217</xdr:rowOff>
    </xdr:from>
    <xdr:to>
      <xdr:col>3</xdr:col>
      <xdr:colOff>839475</xdr:colOff>
      <xdr:row>47</xdr:row>
      <xdr:rowOff>471217</xdr:rowOff>
    </xdr:to>
    <xdr:sp macro="" textlink="">
      <xdr:nvSpPr>
        <xdr:cNvPr id="300" name="Овал 29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81397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48</xdr:row>
      <xdr:rowOff>24545</xdr:rowOff>
    </xdr:from>
    <xdr:to>
      <xdr:col>3</xdr:col>
      <xdr:colOff>802515</xdr:colOff>
      <xdr:row>48</xdr:row>
      <xdr:rowOff>273844</xdr:rowOff>
    </xdr:to>
    <xdr:cxnSp macro="">
      <xdr:nvCxnSpPr>
        <xdr:cNvPr id="301" name="Прямая со стрелкой 30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8269920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48</xdr:row>
      <xdr:rowOff>399217</xdr:rowOff>
    </xdr:from>
    <xdr:to>
      <xdr:col>3</xdr:col>
      <xdr:colOff>839475</xdr:colOff>
      <xdr:row>48</xdr:row>
      <xdr:rowOff>471217</xdr:rowOff>
    </xdr:to>
    <xdr:sp macro="" textlink="">
      <xdr:nvSpPr>
        <xdr:cNvPr id="302" name="Овал 30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86445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48</xdr:row>
      <xdr:rowOff>273304</xdr:rowOff>
    </xdr:from>
    <xdr:to>
      <xdr:col>3</xdr:col>
      <xdr:colOff>802515</xdr:colOff>
      <xdr:row>48</xdr:row>
      <xdr:rowOff>440531</xdr:rowOff>
    </xdr:to>
    <xdr:cxnSp macro="">
      <xdr:nvCxnSpPr>
        <xdr:cNvPr id="303" name="Прямая со стрелкой 30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8518679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727408</xdr:colOff>
      <xdr:row>49</xdr:row>
      <xdr:rowOff>82825</xdr:rowOff>
    </xdr:from>
    <xdr:to>
      <xdr:col>4</xdr:col>
      <xdr:colOff>1074046</xdr:colOff>
      <xdr:row>49</xdr:row>
      <xdr:rowOff>422412</xdr:rowOff>
    </xdr:to>
    <xdr:sp macro="" textlink="">
      <xdr:nvSpPr>
        <xdr:cNvPr id="304" name="Овал 303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851608" y="58833025"/>
          <a:ext cx="346638" cy="339587"/>
        </a:xfrm>
        <a:prstGeom prst="ellipse">
          <a:avLst/>
        </a:prstGeom>
        <a:solidFill>
          <a:schemeClr val="bg1"/>
        </a:solidFill>
        <a:ln w="41275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60</a:t>
          </a:r>
        </a:p>
      </xdr:txBody>
    </xdr:sp>
    <xdr:clientData/>
  </xdr:twoCellAnchor>
  <xdr:twoCellAnchor>
    <xdr:from>
      <xdr:col>4</xdr:col>
      <xdr:colOff>1262857</xdr:colOff>
      <xdr:row>49</xdr:row>
      <xdr:rowOff>121315</xdr:rowOff>
    </xdr:from>
    <xdr:to>
      <xdr:col>5</xdr:col>
      <xdr:colOff>935937</xdr:colOff>
      <xdr:row>49</xdr:row>
      <xdr:rowOff>398540</xdr:rowOff>
    </xdr:to>
    <xdr:sp macro="" textlink="">
      <xdr:nvSpPr>
        <xdr:cNvPr id="305" name="Прямоугольник 304"/>
        <xdr:cNvSpPr/>
      </xdr:nvSpPr>
      <xdr:spPr>
        <a:xfrm>
          <a:off x="4387057" y="58871515"/>
          <a:ext cx="1054205" cy="2772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3</xdr:col>
      <xdr:colOff>802515</xdr:colOff>
      <xdr:row>49</xdr:row>
      <xdr:rowOff>24546</xdr:rowOff>
    </xdr:from>
    <xdr:to>
      <xdr:col>3</xdr:col>
      <xdr:colOff>802515</xdr:colOff>
      <xdr:row>49</xdr:row>
      <xdr:rowOff>441157</xdr:rowOff>
    </xdr:to>
    <xdr:cxnSp macro="">
      <xdr:nvCxnSpPr>
        <xdr:cNvPr id="306" name="Прямая со стрелкой 30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8774746"/>
          <a:ext cx="0" cy="416611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49</xdr:row>
      <xdr:rowOff>399217</xdr:rowOff>
    </xdr:from>
    <xdr:to>
      <xdr:col>3</xdr:col>
      <xdr:colOff>839475</xdr:colOff>
      <xdr:row>49</xdr:row>
      <xdr:rowOff>471217</xdr:rowOff>
    </xdr:to>
    <xdr:sp macro="" textlink="">
      <xdr:nvSpPr>
        <xdr:cNvPr id="307" name="Овал 30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91494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50</xdr:row>
      <xdr:rowOff>24545</xdr:rowOff>
    </xdr:from>
    <xdr:to>
      <xdr:col>3</xdr:col>
      <xdr:colOff>802515</xdr:colOff>
      <xdr:row>50</xdr:row>
      <xdr:rowOff>273844</xdr:rowOff>
    </xdr:to>
    <xdr:cxnSp macro="">
      <xdr:nvCxnSpPr>
        <xdr:cNvPr id="308" name="Прямая со стрелкой 30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9279570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50</xdr:row>
      <xdr:rowOff>399217</xdr:rowOff>
    </xdr:from>
    <xdr:to>
      <xdr:col>3</xdr:col>
      <xdr:colOff>839475</xdr:colOff>
      <xdr:row>50</xdr:row>
      <xdr:rowOff>471217</xdr:rowOff>
    </xdr:to>
    <xdr:sp macro="" textlink="">
      <xdr:nvSpPr>
        <xdr:cNvPr id="309" name="Овал 30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96542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50</xdr:row>
      <xdr:rowOff>273304</xdr:rowOff>
    </xdr:from>
    <xdr:to>
      <xdr:col>3</xdr:col>
      <xdr:colOff>802515</xdr:colOff>
      <xdr:row>50</xdr:row>
      <xdr:rowOff>440531</xdr:rowOff>
    </xdr:to>
    <xdr:cxnSp macro="">
      <xdr:nvCxnSpPr>
        <xdr:cNvPr id="310" name="Прямая со стрелкой 30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9528329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51</xdr:row>
      <xdr:rowOff>24546</xdr:rowOff>
    </xdr:from>
    <xdr:to>
      <xdr:col>3</xdr:col>
      <xdr:colOff>802515</xdr:colOff>
      <xdr:row>51</xdr:row>
      <xdr:rowOff>441157</xdr:rowOff>
    </xdr:to>
    <xdr:cxnSp macro="">
      <xdr:nvCxnSpPr>
        <xdr:cNvPr id="311" name="Прямая со стрелкой 31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9784396"/>
          <a:ext cx="0" cy="416611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51</xdr:row>
      <xdr:rowOff>399217</xdr:rowOff>
    </xdr:from>
    <xdr:to>
      <xdr:col>3</xdr:col>
      <xdr:colOff>839475</xdr:colOff>
      <xdr:row>51</xdr:row>
      <xdr:rowOff>471217</xdr:rowOff>
    </xdr:to>
    <xdr:sp macro="" textlink="">
      <xdr:nvSpPr>
        <xdr:cNvPr id="312" name="Овал 31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601590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1050374</xdr:colOff>
      <xdr:row>51</xdr:row>
      <xdr:rowOff>99335</xdr:rowOff>
    </xdr:from>
    <xdr:to>
      <xdr:col>5</xdr:col>
      <xdr:colOff>723454</xdr:colOff>
      <xdr:row>51</xdr:row>
      <xdr:rowOff>376560</xdr:rowOff>
    </xdr:to>
    <xdr:sp macro="" textlink="">
      <xdr:nvSpPr>
        <xdr:cNvPr id="313" name="Прямоугольник 312"/>
        <xdr:cNvSpPr/>
      </xdr:nvSpPr>
      <xdr:spPr>
        <a:xfrm>
          <a:off x="4174574" y="59859185"/>
          <a:ext cx="1054205" cy="2772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1061724</xdr:colOff>
      <xdr:row>51</xdr:row>
      <xdr:rowOff>106973</xdr:rowOff>
    </xdr:from>
    <xdr:to>
      <xdr:col>5</xdr:col>
      <xdr:colOff>718038</xdr:colOff>
      <xdr:row>51</xdr:row>
      <xdr:rowOff>365682</xdr:rowOff>
    </xdr:to>
    <xdr:cxnSp macro="">
      <xdr:nvCxnSpPr>
        <xdr:cNvPr id="314" name="Прямая соединительная линия 313"/>
        <xdr:cNvCxnSpPr/>
      </xdr:nvCxnSpPr>
      <xdr:spPr>
        <a:xfrm flipV="1">
          <a:off x="4185924" y="59866823"/>
          <a:ext cx="1037439" cy="25870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514925</xdr:colOff>
      <xdr:row>51</xdr:row>
      <xdr:rowOff>60845</xdr:rowOff>
    </xdr:from>
    <xdr:to>
      <xdr:col>4</xdr:col>
      <xdr:colOff>861563</xdr:colOff>
      <xdr:row>51</xdr:row>
      <xdr:rowOff>400432</xdr:rowOff>
    </xdr:to>
    <xdr:sp macro="" textlink="">
      <xdr:nvSpPr>
        <xdr:cNvPr id="315" name="Овал 314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639125" y="59820695"/>
          <a:ext cx="346638" cy="339587"/>
        </a:xfrm>
        <a:prstGeom prst="ellipse">
          <a:avLst/>
        </a:prstGeom>
        <a:solidFill>
          <a:schemeClr val="bg1"/>
        </a:solidFill>
        <a:ln w="41275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</a:p>
      </xdr:txBody>
    </xdr:sp>
    <xdr:clientData/>
  </xdr:twoCellAnchor>
  <xdr:twoCellAnchor>
    <xdr:from>
      <xdr:col>3</xdr:col>
      <xdr:colOff>802515</xdr:colOff>
      <xdr:row>52</xdr:row>
      <xdr:rowOff>24545</xdr:rowOff>
    </xdr:from>
    <xdr:to>
      <xdr:col>3</xdr:col>
      <xdr:colOff>802515</xdr:colOff>
      <xdr:row>52</xdr:row>
      <xdr:rowOff>273844</xdr:rowOff>
    </xdr:to>
    <xdr:cxnSp macro="">
      <xdr:nvCxnSpPr>
        <xdr:cNvPr id="316" name="Прямая со стрелкой 31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0289220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52</xdr:row>
      <xdr:rowOff>399217</xdr:rowOff>
    </xdr:from>
    <xdr:to>
      <xdr:col>3</xdr:col>
      <xdr:colOff>839475</xdr:colOff>
      <xdr:row>52</xdr:row>
      <xdr:rowOff>471217</xdr:rowOff>
    </xdr:to>
    <xdr:sp macro="" textlink="">
      <xdr:nvSpPr>
        <xdr:cNvPr id="317" name="Овал 31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606638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52</xdr:row>
      <xdr:rowOff>273304</xdr:rowOff>
    </xdr:from>
    <xdr:to>
      <xdr:col>3</xdr:col>
      <xdr:colOff>802515</xdr:colOff>
      <xdr:row>52</xdr:row>
      <xdr:rowOff>440531</xdr:rowOff>
    </xdr:to>
    <xdr:cxnSp macro="">
      <xdr:nvCxnSpPr>
        <xdr:cNvPr id="318" name="Прямая со стрелкой 31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0537979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53</xdr:row>
      <xdr:rowOff>24545</xdr:rowOff>
    </xdr:from>
    <xdr:to>
      <xdr:col>3</xdr:col>
      <xdr:colOff>802515</xdr:colOff>
      <xdr:row>53</xdr:row>
      <xdr:rowOff>273844</xdr:rowOff>
    </xdr:to>
    <xdr:cxnSp macro="">
      <xdr:nvCxnSpPr>
        <xdr:cNvPr id="319" name="Прямая со стрелкой 31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0794045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53</xdr:row>
      <xdr:rowOff>399217</xdr:rowOff>
    </xdr:from>
    <xdr:to>
      <xdr:col>3</xdr:col>
      <xdr:colOff>839475</xdr:colOff>
      <xdr:row>53</xdr:row>
      <xdr:rowOff>471217</xdr:rowOff>
    </xdr:to>
    <xdr:sp macro="" textlink="">
      <xdr:nvSpPr>
        <xdr:cNvPr id="320" name="Овал 31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611687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53</xdr:row>
      <xdr:rowOff>273304</xdr:rowOff>
    </xdr:from>
    <xdr:to>
      <xdr:col>3</xdr:col>
      <xdr:colOff>802515</xdr:colOff>
      <xdr:row>53</xdr:row>
      <xdr:rowOff>440531</xdr:rowOff>
    </xdr:to>
    <xdr:cxnSp macro="">
      <xdr:nvCxnSpPr>
        <xdr:cNvPr id="321" name="Прямая со стрелкой 32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1042804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54</xdr:row>
      <xdr:rowOff>24545</xdr:rowOff>
    </xdr:from>
    <xdr:to>
      <xdr:col>3</xdr:col>
      <xdr:colOff>802515</xdr:colOff>
      <xdr:row>54</xdr:row>
      <xdr:rowOff>273844</xdr:rowOff>
    </xdr:to>
    <xdr:cxnSp macro="">
      <xdr:nvCxnSpPr>
        <xdr:cNvPr id="322" name="Прямая со стрелкой 32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1298870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54</xdr:row>
      <xdr:rowOff>399217</xdr:rowOff>
    </xdr:from>
    <xdr:to>
      <xdr:col>3</xdr:col>
      <xdr:colOff>839475</xdr:colOff>
      <xdr:row>54</xdr:row>
      <xdr:rowOff>471217</xdr:rowOff>
    </xdr:to>
    <xdr:sp macro="" textlink="">
      <xdr:nvSpPr>
        <xdr:cNvPr id="323" name="Овал 32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616735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54</xdr:row>
      <xdr:rowOff>273304</xdr:rowOff>
    </xdr:from>
    <xdr:to>
      <xdr:col>3</xdr:col>
      <xdr:colOff>802515</xdr:colOff>
      <xdr:row>54</xdr:row>
      <xdr:rowOff>440531</xdr:rowOff>
    </xdr:to>
    <xdr:cxnSp macro="">
      <xdr:nvCxnSpPr>
        <xdr:cNvPr id="324" name="Прямая со стрелкой 32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1547629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56</xdr:row>
      <xdr:rowOff>24545</xdr:rowOff>
    </xdr:from>
    <xdr:to>
      <xdr:col>3</xdr:col>
      <xdr:colOff>802515</xdr:colOff>
      <xdr:row>56</xdr:row>
      <xdr:rowOff>273844</xdr:rowOff>
    </xdr:to>
    <xdr:cxnSp macro="">
      <xdr:nvCxnSpPr>
        <xdr:cNvPr id="325" name="Прямая со стрелкой 32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2308520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56</xdr:row>
      <xdr:rowOff>399217</xdr:rowOff>
    </xdr:from>
    <xdr:to>
      <xdr:col>3</xdr:col>
      <xdr:colOff>839475</xdr:colOff>
      <xdr:row>56</xdr:row>
      <xdr:rowOff>471217</xdr:rowOff>
    </xdr:to>
    <xdr:sp macro="" textlink="">
      <xdr:nvSpPr>
        <xdr:cNvPr id="326" name="Овал 32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626831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56</xdr:row>
      <xdr:rowOff>273304</xdr:rowOff>
    </xdr:from>
    <xdr:to>
      <xdr:col>3</xdr:col>
      <xdr:colOff>802515</xdr:colOff>
      <xdr:row>56</xdr:row>
      <xdr:rowOff>440531</xdr:rowOff>
    </xdr:to>
    <xdr:cxnSp macro="">
      <xdr:nvCxnSpPr>
        <xdr:cNvPr id="327" name="Прямая со стрелкой 32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2557279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57</xdr:row>
      <xdr:rowOff>24545</xdr:rowOff>
    </xdr:from>
    <xdr:to>
      <xdr:col>3</xdr:col>
      <xdr:colOff>802515</xdr:colOff>
      <xdr:row>57</xdr:row>
      <xdr:rowOff>273844</xdr:rowOff>
    </xdr:to>
    <xdr:cxnSp macro="">
      <xdr:nvCxnSpPr>
        <xdr:cNvPr id="328" name="Прямая со стрелкой 32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2813345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57</xdr:row>
      <xdr:rowOff>399217</xdr:rowOff>
    </xdr:from>
    <xdr:to>
      <xdr:col>3</xdr:col>
      <xdr:colOff>839475</xdr:colOff>
      <xdr:row>57</xdr:row>
      <xdr:rowOff>471217</xdr:rowOff>
    </xdr:to>
    <xdr:sp macro="" textlink="">
      <xdr:nvSpPr>
        <xdr:cNvPr id="329" name="Овал 32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631880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57</xdr:row>
      <xdr:rowOff>273304</xdr:rowOff>
    </xdr:from>
    <xdr:to>
      <xdr:col>3</xdr:col>
      <xdr:colOff>802515</xdr:colOff>
      <xdr:row>57</xdr:row>
      <xdr:rowOff>440531</xdr:rowOff>
    </xdr:to>
    <xdr:cxnSp macro="">
      <xdr:nvCxnSpPr>
        <xdr:cNvPr id="330" name="Прямая со стрелкой 32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63062104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729343</xdr:colOff>
      <xdr:row>4</xdr:row>
      <xdr:rowOff>2324099</xdr:rowOff>
    </xdr:from>
    <xdr:to>
      <xdr:col>3</xdr:col>
      <xdr:colOff>873343</xdr:colOff>
      <xdr:row>4</xdr:row>
      <xdr:rowOff>2468099</xdr:rowOff>
    </xdr:to>
    <xdr:sp macro="" textlink="">
      <xdr:nvSpPr>
        <xdr:cNvPr id="331" name="5-конечная звезда 330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272393" y="3200399"/>
          <a:ext cx="144000" cy="144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729343</xdr:colOff>
      <xdr:row>4</xdr:row>
      <xdr:rowOff>2051956</xdr:rowOff>
    </xdr:from>
    <xdr:to>
      <xdr:col>3</xdr:col>
      <xdr:colOff>873343</xdr:colOff>
      <xdr:row>4</xdr:row>
      <xdr:rowOff>2195956</xdr:rowOff>
    </xdr:to>
    <xdr:sp macro="" textlink="">
      <xdr:nvSpPr>
        <xdr:cNvPr id="332" name="5-конечная звезда 331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272393" y="2928256"/>
          <a:ext cx="144000" cy="144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1249456</xdr:colOff>
      <xdr:row>34</xdr:row>
      <xdr:rowOff>100294</xdr:rowOff>
    </xdr:from>
    <xdr:to>
      <xdr:col>4</xdr:col>
      <xdr:colOff>1249456</xdr:colOff>
      <xdr:row>34</xdr:row>
      <xdr:rowOff>1400735</xdr:rowOff>
    </xdr:to>
    <xdr:cxnSp macro="">
      <xdr:nvCxnSpPr>
        <xdr:cNvPr id="333" name="Прямая соединительная линия 332"/>
        <xdr:cNvCxnSpPr/>
      </xdr:nvCxnSpPr>
      <xdr:spPr>
        <a:xfrm>
          <a:off x="4373656" y="48220594"/>
          <a:ext cx="0" cy="130044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641183</xdr:colOff>
      <xdr:row>38</xdr:row>
      <xdr:rowOff>33618</xdr:rowOff>
    </xdr:from>
    <xdr:to>
      <xdr:col>3</xdr:col>
      <xdr:colOff>805974</xdr:colOff>
      <xdr:row>38</xdr:row>
      <xdr:rowOff>277222</xdr:rowOff>
    </xdr:to>
    <xdr:sp macro="" textlink="">
      <xdr:nvSpPr>
        <xdr:cNvPr id="334" name="Полилиния 333"/>
        <xdr:cNvSpPr/>
      </xdr:nvSpPr>
      <xdr:spPr>
        <a:xfrm flipH="1">
          <a:off x="2184233" y="53230743"/>
          <a:ext cx="164791" cy="243604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  <a:gd name="connsiteX0" fmla="*/ 0 w 515471"/>
            <a:gd name="connsiteY0" fmla="*/ 762000 h 762000"/>
            <a:gd name="connsiteX1" fmla="*/ 112059 w 515471"/>
            <a:gd name="connsiteY1" fmla="*/ 515471 h 762000"/>
            <a:gd name="connsiteX2" fmla="*/ 336177 w 515471"/>
            <a:gd name="connsiteY2" fmla="*/ 212912 h 762000"/>
            <a:gd name="connsiteX3" fmla="*/ 515471 w 515471"/>
            <a:gd name="connsiteY3" fmla="*/ 0 h 762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15471" h="762000">
              <a:moveTo>
                <a:pt x="0" y="762000"/>
              </a:moveTo>
              <a:cubicBezTo>
                <a:pt x="20544" y="644338"/>
                <a:pt x="56030" y="606986"/>
                <a:pt x="112059" y="515471"/>
              </a:cubicBezTo>
              <a:cubicBezTo>
                <a:pt x="168088" y="423956"/>
                <a:pt x="268942" y="298824"/>
                <a:pt x="336177" y="212912"/>
              </a:cubicBezTo>
              <a:cubicBezTo>
                <a:pt x="403412" y="127000"/>
                <a:pt x="459441" y="63500"/>
                <a:pt x="515471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632985</xdr:colOff>
      <xdr:row>46</xdr:row>
      <xdr:rowOff>43961</xdr:rowOff>
    </xdr:from>
    <xdr:to>
      <xdr:col>3</xdr:col>
      <xdr:colOff>802643</xdr:colOff>
      <xdr:row>46</xdr:row>
      <xdr:rowOff>434444</xdr:rowOff>
    </xdr:to>
    <xdr:sp macro="" textlink="">
      <xdr:nvSpPr>
        <xdr:cNvPr id="335" name="Полилиния 334"/>
        <xdr:cNvSpPr/>
      </xdr:nvSpPr>
      <xdr:spPr>
        <a:xfrm flipH="1">
          <a:off x="2176035" y="57279686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762000</xdr:colOff>
      <xdr:row>46</xdr:row>
      <xdr:rowOff>382976</xdr:rowOff>
    </xdr:from>
    <xdr:to>
      <xdr:col>3</xdr:col>
      <xdr:colOff>834000</xdr:colOff>
      <xdr:row>46</xdr:row>
      <xdr:rowOff>454976</xdr:rowOff>
    </xdr:to>
    <xdr:sp macro="" textlink="">
      <xdr:nvSpPr>
        <xdr:cNvPr id="336" name="Овал 33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5050" y="5761870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842596</xdr:colOff>
      <xdr:row>43</xdr:row>
      <xdr:rowOff>211917</xdr:rowOff>
    </xdr:from>
    <xdr:to>
      <xdr:col>3</xdr:col>
      <xdr:colOff>937846</xdr:colOff>
      <xdr:row>43</xdr:row>
      <xdr:rowOff>307731</xdr:rowOff>
    </xdr:to>
    <xdr:cxnSp macro="">
      <xdr:nvCxnSpPr>
        <xdr:cNvPr id="337" name="Прямая со стрелкой 33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H="1" flipV="1">
          <a:off x="2385646" y="55933167"/>
          <a:ext cx="95250" cy="95814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806565</xdr:colOff>
      <xdr:row>55</xdr:row>
      <xdr:rowOff>28575</xdr:rowOff>
    </xdr:from>
    <xdr:to>
      <xdr:col>3</xdr:col>
      <xdr:colOff>806565</xdr:colOff>
      <xdr:row>55</xdr:row>
      <xdr:rowOff>277874</xdr:rowOff>
    </xdr:to>
    <xdr:cxnSp macro="">
      <xdr:nvCxnSpPr>
        <xdr:cNvPr id="338" name="Прямая со стрелкой 33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9615" y="61807725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771525</xdr:colOff>
      <xdr:row>55</xdr:row>
      <xdr:rowOff>403247</xdr:rowOff>
    </xdr:from>
    <xdr:to>
      <xdr:col>3</xdr:col>
      <xdr:colOff>843525</xdr:colOff>
      <xdr:row>55</xdr:row>
      <xdr:rowOff>475247</xdr:rowOff>
    </xdr:to>
    <xdr:sp macro="" textlink="">
      <xdr:nvSpPr>
        <xdr:cNvPr id="339" name="Овал 33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4575" y="6218239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806565</xdr:colOff>
      <xdr:row>55</xdr:row>
      <xdr:rowOff>277334</xdr:rowOff>
    </xdr:from>
    <xdr:to>
      <xdr:col>3</xdr:col>
      <xdr:colOff>806565</xdr:colOff>
      <xdr:row>55</xdr:row>
      <xdr:rowOff>444561</xdr:rowOff>
    </xdr:to>
    <xdr:cxnSp macro="">
      <xdr:nvCxnSpPr>
        <xdr:cNvPr id="340" name="Прямая со стрелкой 33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9615" y="62056484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885825</xdr:colOff>
      <xdr:row>41</xdr:row>
      <xdr:rowOff>238125</xdr:rowOff>
    </xdr:from>
    <xdr:to>
      <xdr:col>3</xdr:col>
      <xdr:colOff>957825</xdr:colOff>
      <xdr:row>41</xdr:row>
      <xdr:rowOff>310125</xdr:rowOff>
    </xdr:to>
    <xdr:sp macro="" textlink="">
      <xdr:nvSpPr>
        <xdr:cNvPr id="341" name="5-конечная звезда 34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28875" y="5494972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647700</xdr:colOff>
      <xdr:row>44</xdr:row>
      <xdr:rowOff>228600</xdr:rowOff>
    </xdr:from>
    <xdr:to>
      <xdr:col>3</xdr:col>
      <xdr:colOff>719700</xdr:colOff>
      <xdr:row>44</xdr:row>
      <xdr:rowOff>300600</xdr:rowOff>
    </xdr:to>
    <xdr:sp macro="" textlink="">
      <xdr:nvSpPr>
        <xdr:cNvPr id="342" name="5-конечная звезда 341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190750" y="564546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885825</xdr:colOff>
      <xdr:row>49</xdr:row>
      <xdr:rowOff>257175</xdr:rowOff>
    </xdr:from>
    <xdr:to>
      <xdr:col>3</xdr:col>
      <xdr:colOff>957825</xdr:colOff>
      <xdr:row>49</xdr:row>
      <xdr:rowOff>329175</xdr:rowOff>
    </xdr:to>
    <xdr:sp macro="" textlink="">
      <xdr:nvSpPr>
        <xdr:cNvPr id="343" name="5-конечная звезда 342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28875" y="590073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638175</xdr:colOff>
      <xdr:row>51</xdr:row>
      <xdr:rowOff>238125</xdr:rowOff>
    </xdr:from>
    <xdr:to>
      <xdr:col>3</xdr:col>
      <xdr:colOff>710175</xdr:colOff>
      <xdr:row>51</xdr:row>
      <xdr:rowOff>310125</xdr:rowOff>
    </xdr:to>
    <xdr:sp macro="" textlink="">
      <xdr:nvSpPr>
        <xdr:cNvPr id="344" name="5-конечная звезда 34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181225" y="599979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8</xdr:col>
      <xdr:colOff>598714</xdr:colOff>
      <xdr:row>22</xdr:row>
      <xdr:rowOff>486896</xdr:rowOff>
    </xdr:from>
    <xdr:to>
      <xdr:col>18</xdr:col>
      <xdr:colOff>285750</xdr:colOff>
      <xdr:row>22</xdr:row>
      <xdr:rowOff>486896</xdr:rowOff>
    </xdr:to>
    <xdr:cxnSp macro="">
      <xdr:nvCxnSpPr>
        <xdr:cNvPr id="345" name="Прямая со стрелкой 344"/>
        <xdr:cNvCxnSpPr/>
      </xdr:nvCxnSpPr>
      <xdr:spPr>
        <a:xfrm>
          <a:off x="7447189" y="30319196"/>
          <a:ext cx="5706836" cy="0"/>
        </a:xfrm>
        <a:prstGeom prst="straightConnector1">
          <a:avLst/>
        </a:prstGeom>
        <a:ln w="6350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506888</xdr:colOff>
      <xdr:row>22</xdr:row>
      <xdr:rowOff>385291</xdr:rowOff>
    </xdr:from>
    <xdr:to>
      <xdr:col>9</xdr:col>
      <xdr:colOff>74566</xdr:colOff>
      <xdr:row>22</xdr:row>
      <xdr:rowOff>565291</xdr:rowOff>
    </xdr:to>
    <xdr:sp macro="" textlink="">
      <xdr:nvSpPr>
        <xdr:cNvPr id="346" name="Овал 34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7355363" y="30217591"/>
          <a:ext cx="177278" cy="180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330266</xdr:colOff>
      <xdr:row>21</xdr:row>
      <xdr:rowOff>1281825</xdr:rowOff>
    </xdr:from>
    <xdr:to>
      <xdr:col>9</xdr:col>
      <xdr:colOff>330266</xdr:colOff>
      <xdr:row>22</xdr:row>
      <xdr:rowOff>482814</xdr:rowOff>
    </xdr:to>
    <xdr:cxnSp macro="">
      <xdr:nvCxnSpPr>
        <xdr:cNvPr id="347" name="Прямая со стрелкой 34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7788341" y="29590125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130689</xdr:colOff>
      <xdr:row>22</xdr:row>
      <xdr:rowOff>492910</xdr:rowOff>
    </xdr:from>
    <xdr:to>
      <xdr:col>10</xdr:col>
      <xdr:colOff>130689</xdr:colOff>
      <xdr:row>22</xdr:row>
      <xdr:rowOff>1217899</xdr:rowOff>
    </xdr:to>
    <xdr:cxnSp macro="">
      <xdr:nvCxnSpPr>
        <xdr:cNvPr id="348" name="Прямая со стрелкой 34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8122164" y="30325210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468994</xdr:colOff>
      <xdr:row>21</xdr:row>
      <xdr:rowOff>1281825</xdr:rowOff>
    </xdr:from>
    <xdr:to>
      <xdr:col>10</xdr:col>
      <xdr:colOff>468994</xdr:colOff>
      <xdr:row>22</xdr:row>
      <xdr:rowOff>482814</xdr:rowOff>
    </xdr:to>
    <xdr:cxnSp macro="">
      <xdr:nvCxnSpPr>
        <xdr:cNvPr id="349" name="Прямая со стрелкой 34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8460469" y="29590125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202181</xdr:colOff>
      <xdr:row>21</xdr:row>
      <xdr:rowOff>1262454</xdr:rowOff>
    </xdr:from>
    <xdr:to>
      <xdr:col>11</xdr:col>
      <xdr:colOff>202181</xdr:colOff>
      <xdr:row>22</xdr:row>
      <xdr:rowOff>482814</xdr:rowOff>
    </xdr:to>
    <xdr:grpSp>
      <xdr:nvGrpSpPr>
        <xdr:cNvPr id="350" name="Группа 349"/>
        <xdr:cNvGrpSpPr/>
      </xdr:nvGrpSpPr>
      <xdr:grpSpPr>
        <a:xfrm>
          <a:off x="8785887" y="29590925"/>
          <a:ext cx="0" cy="744360"/>
          <a:chOff x="8929660" y="24481651"/>
          <a:chExt cx="0" cy="744360"/>
        </a:xfrm>
      </xdr:grpSpPr>
      <xdr:cxnSp macro="">
        <xdr:nvCxnSpPr>
          <xdr:cNvPr id="351" name="Прямая со стрелкой 350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solidFill>
              <a:schemeClr val="tx1"/>
            </a:solidFill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52" name="Прямая со стрелкой 351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solidFill>
              <a:schemeClr val="tx1"/>
            </a:solidFill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540486</xdr:colOff>
      <xdr:row>21</xdr:row>
      <xdr:rowOff>1266586</xdr:rowOff>
    </xdr:from>
    <xdr:to>
      <xdr:col>11</xdr:col>
      <xdr:colOff>540486</xdr:colOff>
      <xdr:row>22</xdr:row>
      <xdr:rowOff>1231207</xdr:rowOff>
    </xdr:to>
    <xdr:cxnSp macro="">
      <xdr:nvCxnSpPr>
        <xdr:cNvPr id="353" name="Прямая со стрелкой 35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141561" y="29574886"/>
          <a:ext cx="0" cy="1488621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273673</xdr:colOff>
      <xdr:row>21</xdr:row>
      <xdr:rowOff>1281825</xdr:rowOff>
    </xdr:from>
    <xdr:to>
      <xdr:col>12</xdr:col>
      <xdr:colOff>273673</xdr:colOff>
      <xdr:row>22</xdr:row>
      <xdr:rowOff>482814</xdr:rowOff>
    </xdr:to>
    <xdr:cxnSp macro="">
      <xdr:nvCxnSpPr>
        <xdr:cNvPr id="354" name="Прямая со стрелкой 35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484348" y="29590125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6861</xdr:colOff>
      <xdr:row>22</xdr:row>
      <xdr:rowOff>492910</xdr:rowOff>
    </xdr:from>
    <xdr:to>
      <xdr:col>13</xdr:col>
      <xdr:colOff>6861</xdr:colOff>
      <xdr:row>22</xdr:row>
      <xdr:rowOff>1217899</xdr:rowOff>
    </xdr:to>
    <xdr:cxnSp macro="">
      <xdr:nvCxnSpPr>
        <xdr:cNvPr id="355" name="Прямая со стрелкой 35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827136" y="30325210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345166</xdr:colOff>
      <xdr:row>22</xdr:row>
      <xdr:rowOff>492910</xdr:rowOff>
    </xdr:from>
    <xdr:to>
      <xdr:col>13</xdr:col>
      <xdr:colOff>345166</xdr:colOff>
      <xdr:row>22</xdr:row>
      <xdr:rowOff>1217899</xdr:rowOff>
    </xdr:to>
    <xdr:cxnSp macro="">
      <xdr:nvCxnSpPr>
        <xdr:cNvPr id="356" name="Прямая со стрелкой 35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165441" y="30325210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416658</xdr:colOff>
      <xdr:row>21</xdr:row>
      <xdr:rowOff>1281825</xdr:rowOff>
    </xdr:from>
    <xdr:to>
      <xdr:col>14</xdr:col>
      <xdr:colOff>416658</xdr:colOff>
      <xdr:row>22</xdr:row>
      <xdr:rowOff>482814</xdr:rowOff>
    </xdr:to>
    <xdr:cxnSp macro="">
      <xdr:nvCxnSpPr>
        <xdr:cNvPr id="357" name="Прямая со стрелкой 35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846533" y="29590125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149846</xdr:colOff>
      <xdr:row>21</xdr:row>
      <xdr:rowOff>1266586</xdr:rowOff>
    </xdr:from>
    <xdr:to>
      <xdr:col>15</xdr:col>
      <xdr:colOff>149846</xdr:colOff>
      <xdr:row>22</xdr:row>
      <xdr:rowOff>1231207</xdr:rowOff>
    </xdr:to>
    <xdr:cxnSp macro="">
      <xdr:nvCxnSpPr>
        <xdr:cNvPr id="358" name="Прямая со стрелкой 35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1189321" y="29574886"/>
          <a:ext cx="0" cy="1488621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488151</xdr:colOff>
      <xdr:row>22</xdr:row>
      <xdr:rowOff>492910</xdr:rowOff>
    </xdr:from>
    <xdr:to>
      <xdr:col>15</xdr:col>
      <xdr:colOff>488151</xdr:colOff>
      <xdr:row>22</xdr:row>
      <xdr:rowOff>1237270</xdr:rowOff>
    </xdr:to>
    <xdr:grpSp>
      <xdr:nvGrpSpPr>
        <xdr:cNvPr id="359" name="Группа 358"/>
        <xdr:cNvGrpSpPr/>
      </xdr:nvGrpSpPr>
      <xdr:grpSpPr>
        <a:xfrm flipV="1">
          <a:off x="11492327" y="30345381"/>
          <a:ext cx="0" cy="744360"/>
          <a:chOff x="8929660" y="24481651"/>
          <a:chExt cx="0" cy="744360"/>
        </a:xfrm>
      </xdr:grpSpPr>
      <xdr:cxnSp macro="">
        <xdr:nvCxnSpPr>
          <xdr:cNvPr id="360" name="Прямая со стрелкой 359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61" name="Прямая со стрелкой 360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221338</xdr:colOff>
      <xdr:row>21</xdr:row>
      <xdr:rowOff>1281825</xdr:rowOff>
    </xdr:from>
    <xdr:to>
      <xdr:col>16</xdr:col>
      <xdr:colOff>221338</xdr:colOff>
      <xdr:row>22</xdr:row>
      <xdr:rowOff>482814</xdr:rowOff>
    </xdr:to>
    <xdr:cxnSp macro="">
      <xdr:nvCxnSpPr>
        <xdr:cNvPr id="362" name="Прямая со стрелкой 36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1870413" y="29590125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559643</xdr:colOff>
      <xdr:row>22</xdr:row>
      <xdr:rowOff>492910</xdr:rowOff>
    </xdr:from>
    <xdr:to>
      <xdr:col>16</xdr:col>
      <xdr:colOff>559643</xdr:colOff>
      <xdr:row>22</xdr:row>
      <xdr:rowOff>1217899</xdr:rowOff>
    </xdr:to>
    <xdr:cxnSp macro="">
      <xdr:nvCxnSpPr>
        <xdr:cNvPr id="363" name="Прямая со стрелкой 36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2208718" y="30325210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292824</xdr:colOff>
      <xdr:row>21</xdr:row>
      <xdr:rowOff>1281825</xdr:rowOff>
    </xdr:from>
    <xdr:to>
      <xdr:col>17</xdr:col>
      <xdr:colOff>292824</xdr:colOff>
      <xdr:row>22</xdr:row>
      <xdr:rowOff>482814</xdr:rowOff>
    </xdr:to>
    <xdr:cxnSp macro="">
      <xdr:nvCxnSpPr>
        <xdr:cNvPr id="364" name="Прямая со стрелкой 36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2551499" y="29590125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78353</xdr:colOff>
      <xdr:row>22</xdr:row>
      <xdr:rowOff>492910</xdr:rowOff>
    </xdr:from>
    <xdr:to>
      <xdr:col>14</xdr:col>
      <xdr:colOff>78353</xdr:colOff>
      <xdr:row>22</xdr:row>
      <xdr:rowOff>1217899</xdr:rowOff>
    </xdr:to>
    <xdr:cxnSp macro="">
      <xdr:nvCxnSpPr>
        <xdr:cNvPr id="365" name="Прямая со стрелкой 36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508228" y="30325210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427251</xdr:colOff>
      <xdr:row>25</xdr:row>
      <xdr:rowOff>320243</xdr:rowOff>
    </xdr:from>
    <xdr:to>
      <xdr:col>3</xdr:col>
      <xdr:colOff>1158243</xdr:colOff>
      <xdr:row>25</xdr:row>
      <xdr:rowOff>1268472</xdr:rowOff>
    </xdr:to>
    <xdr:sp macro="" textlink="">
      <xdr:nvSpPr>
        <xdr:cNvPr id="366" name="Полилиния 365"/>
        <xdr:cNvSpPr/>
      </xdr:nvSpPr>
      <xdr:spPr>
        <a:xfrm rot="19712615">
          <a:off x="1973663" y="34744714"/>
          <a:ext cx="730992" cy="948229"/>
        </a:xfrm>
        <a:custGeom>
          <a:avLst/>
          <a:gdLst>
            <a:gd name="connsiteX0" fmla="*/ 0 w 303610"/>
            <a:gd name="connsiteY0" fmla="*/ 500062 h 500062"/>
            <a:gd name="connsiteX1" fmla="*/ 119063 w 303610"/>
            <a:gd name="connsiteY1" fmla="*/ 184547 h 500062"/>
            <a:gd name="connsiteX2" fmla="*/ 303610 w 303610"/>
            <a:gd name="connsiteY2" fmla="*/ 0 h 500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3610" h="500062">
              <a:moveTo>
                <a:pt x="0" y="500062"/>
              </a:moveTo>
              <a:cubicBezTo>
                <a:pt x="34230" y="383976"/>
                <a:pt x="68461" y="267891"/>
                <a:pt x="119063" y="184547"/>
              </a:cubicBezTo>
              <a:cubicBezTo>
                <a:pt x="169665" y="101203"/>
                <a:pt x="236637" y="50601"/>
                <a:pt x="30361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4482</xdr:rowOff>
    </xdr:from>
    <xdr:to>
      <xdr:col>2</xdr:col>
      <xdr:colOff>419206</xdr:colOff>
      <xdr:row>3</xdr:row>
      <xdr:rowOff>8730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482"/>
          <a:ext cx="1219306" cy="661473"/>
        </a:xfrm>
        <a:prstGeom prst="rect">
          <a:avLst/>
        </a:prstGeom>
      </xdr:spPr>
    </xdr:pic>
    <xdr:clientData/>
  </xdr:twoCellAnchor>
  <xdr:twoCellAnchor>
    <xdr:from>
      <xdr:col>3</xdr:col>
      <xdr:colOff>781160</xdr:colOff>
      <xdr:row>5</xdr:row>
      <xdr:rowOff>98451</xdr:rowOff>
    </xdr:from>
    <xdr:to>
      <xdr:col>3</xdr:col>
      <xdr:colOff>781160</xdr:colOff>
      <xdr:row>5</xdr:row>
      <xdr:rowOff>1390379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4210" y="2498751"/>
          <a:ext cx="0" cy="129192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740167</xdr:colOff>
      <xdr:row>5</xdr:row>
      <xdr:rowOff>1372682</xdr:rowOff>
    </xdr:from>
    <xdr:to>
      <xdr:col>3</xdr:col>
      <xdr:colOff>812167</xdr:colOff>
      <xdr:row>5</xdr:row>
      <xdr:rowOff>1444682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3217" y="37729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100853</xdr:colOff>
      <xdr:row>5</xdr:row>
      <xdr:rowOff>658745</xdr:rowOff>
    </xdr:from>
    <xdr:to>
      <xdr:col>3</xdr:col>
      <xdr:colOff>1501588</xdr:colOff>
      <xdr:row>5</xdr:row>
      <xdr:rowOff>950098</xdr:rowOff>
    </xdr:to>
    <xdr:sp macro="" textlink="">
      <xdr:nvSpPr>
        <xdr:cNvPr id="5" name="Полилиния 4"/>
        <xdr:cNvSpPr/>
      </xdr:nvSpPr>
      <xdr:spPr>
        <a:xfrm>
          <a:off x="1643903" y="3059045"/>
          <a:ext cx="1400735" cy="291353"/>
        </a:xfrm>
        <a:custGeom>
          <a:avLst/>
          <a:gdLst>
            <a:gd name="connsiteX0" fmla="*/ 1400735 w 1400735"/>
            <a:gd name="connsiteY0" fmla="*/ 291353 h 291353"/>
            <a:gd name="connsiteX1" fmla="*/ 672353 w 1400735"/>
            <a:gd name="connsiteY1" fmla="*/ 78441 h 291353"/>
            <a:gd name="connsiteX2" fmla="*/ 0 w 1400735"/>
            <a:gd name="connsiteY2" fmla="*/ 0 h 2913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00735" h="291353">
              <a:moveTo>
                <a:pt x="1400735" y="291353"/>
              </a:moveTo>
              <a:cubicBezTo>
                <a:pt x="1153272" y="209176"/>
                <a:pt x="905809" y="127000"/>
                <a:pt x="672353" y="78441"/>
              </a:cubicBezTo>
              <a:cubicBezTo>
                <a:pt x="438897" y="29882"/>
                <a:pt x="0" y="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817485</xdr:colOff>
      <xdr:row>6</xdr:row>
      <xdr:rowOff>95250</xdr:rowOff>
    </xdr:from>
    <xdr:to>
      <xdr:col>3</xdr:col>
      <xdr:colOff>817485</xdr:colOff>
      <xdr:row>6</xdr:row>
      <xdr:rowOff>1387177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60535" y="4019550"/>
          <a:ext cx="0" cy="129192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776492</xdr:colOff>
      <xdr:row>6</xdr:row>
      <xdr:rowOff>1369481</xdr:rowOff>
    </xdr:from>
    <xdr:to>
      <xdr:col>3</xdr:col>
      <xdr:colOff>848492</xdr:colOff>
      <xdr:row>6</xdr:row>
      <xdr:rowOff>1441481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9542" y="529378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783787</xdr:colOff>
      <xdr:row>8</xdr:row>
      <xdr:rowOff>96130</xdr:rowOff>
    </xdr:from>
    <xdr:to>
      <xdr:col>3</xdr:col>
      <xdr:colOff>783787</xdr:colOff>
      <xdr:row>8</xdr:row>
      <xdr:rowOff>1388057</xdr:rowOff>
    </xdr:to>
    <xdr:cxnSp macro="">
      <xdr:nvCxnSpPr>
        <xdr:cNvPr id="8" name="Прямая со стрелкой 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6837" y="7068430"/>
          <a:ext cx="0" cy="129192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747073</xdr:colOff>
      <xdr:row>8</xdr:row>
      <xdr:rowOff>1371036</xdr:rowOff>
    </xdr:from>
    <xdr:to>
      <xdr:col>3</xdr:col>
      <xdr:colOff>819073</xdr:colOff>
      <xdr:row>8</xdr:row>
      <xdr:rowOff>1443036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290123" y="834333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799653</xdr:colOff>
      <xdr:row>20</xdr:row>
      <xdr:rowOff>91046</xdr:rowOff>
    </xdr:from>
    <xdr:to>
      <xdr:col>3</xdr:col>
      <xdr:colOff>799653</xdr:colOff>
      <xdr:row>20</xdr:row>
      <xdr:rowOff>1416978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2703" y="17197946"/>
          <a:ext cx="0" cy="1325932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757420</xdr:colOff>
      <xdr:row>20</xdr:row>
      <xdr:rowOff>1387215</xdr:rowOff>
    </xdr:from>
    <xdr:to>
      <xdr:col>3</xdr:col>
      <xdr:colOff>829420</xdr:colOff>
      <xdr:row>20</xdr:row>
      <xdr:rowOff>1459215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0470" y="1849411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152400</xdr:colOff>
      <xdr:row>20</xdr:row>
      <xdr:rowOff>304800</xdr:rowOff>
    </xdr:from>
    <xdr:to>
      <xdr:col>3</xdr:col>
      <xdr:colOff>1409701</xdr:colOff>
      <xdr:row>20</xdr:row>
      <xdr:rowOff>1285875</xdr:rowOff>
    </xdr:to>
    <xdr:cxnSp macro="">
      <xdr:nvCxnSpPr>
        <xdr:cNvPr id="12" name="Прямая соединительная линия 11"/>
        <xdr:cNvCxnSpPr/>
      </xdr:nvCxnSpPr>
      <xdr:spPr>
        <a:xfrm flipH="1">
          <a:off x="1695450" y="17411700"/>
          <a:ext cx="1257301" cy="981075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803215</xdr:colOff>
      <xdr:row>41</xdr:row>
      <xdr:rowOff>99391</xdr:rowOff>
    </xdr:from>
    <xdr:to>
      <xdr:col>3</xdr:col>
      <xdr:colOff>803215</xdr:colOff>
      <xdr:row>41</xdr:row>
      <xdr:rowOff>1425323</xdr:rowOff>
    </xdr:to>
    <xdr:cxnSp macro="">
      <xdr:nvCxnSpPr>
        <xdr:cNvPr id="13" name="Прямая со стрелкой 1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6265" y="50734291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760982</xdr:colOff>
      <xdr:row>41</xdr:row>
      <xdr:rowOff>1395560</xdr:rowOff>
    </xdr:from>
    <xdr:to>
      <xdr:col>3</xdr:col>
      <xdr:colOff>832982</xdr:colOff>
      <xdr:row>41</xdr:row>
      <xdr:rowOff>1467560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4032" y="5203046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796206</xdr:colOff>
      <xdr:row>42</xdr:row>
      <xdr:rowOff>49696</xdr:rowOff>
    </xdr:from>
    <xdr:to>
      <xdr:col>3</xdr:col>
      <xdr:colOff>796206</xdr:colOff>
      <xdr:row>42</xdr:row>
      <xdr:rowOff>1339236</xdr:rowOff>
    </xdr:to>
    <xdr:cxnSp macro="">
      <xdr:nvCxnSpPr>
        <xdr:cNvPr id="15" name="Прямая со стрелкой 1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9256" y="52208596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755213</xdr:colOff>
      <xdr:row>42</xdr:row>
      <xdr:rowOff>1321540</xdr:rowOff>
    </xdr:from>
    <xdr:to>
      <xdr:col>3</xdr:col>
      <xdr:colOff>827213</xdr:colOff>
      <xdr:row>42</xdr:row>
      <xdr:rowOff>1393540</xdr:rowOff>
    </xdr:to>
    <xdr:sp macro="" textlink="">
      <xdr:nvSpPr>
        <xdr:cNvPr id="16" name="Овал 1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8263" y="5348044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981096</xdr:colOff>
      <xdr:row>42</xdr:row>
      <xdr:rowOff>699645</xdr:rowOff>
    </xdr:from>
    <xdr:to>
      <xdr:col>3</xdr:col>
      <xdr:colOff>1053096</xdr:colOff>
      <xdr:row>42</xdr:row>
      <xdr:rowOff>771645</xdr:rowOff>
    </xdr:to>
    <xdr:sp macro="" textlink="">
      <xdr:nvSpPr>
        <xdr:cNvPr id="17" name="5-конечная звезда 1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24146" y="5285854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546652</xdr:colOff>
      <xdr:row>42</xdr:row>
      <xdr:rowOff>706972</xdr:rowOff>
    </xdr:from>
    <xdr:to>
      <xdr:col>3</xdr:col>
      <xdr:colOff>618652</xdr:colOff>
      <xdr:row>42</xdr:row>
      <xdr:rowOff>778972</xdr:rowOff>
    </xdr:to>
    <xdr:sp macro="" textlink="">
      <xdr:nvSpPr>
        <xdr:cNvPr id="18" name="5-конечная звезда 17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9702" y="5286587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952500</xdr:colOff>
      <xdr:row>42</xdr:row>
      <xdr:rowOff>99391</xdr:rowOff>
    </xdr:from>
    <xdr:ext cx="609653" cy="609653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52258291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oneCellAnchor>
    <xdr:from>
      <xdr:col>4</xdr:col>
      <xdr:colOff>904875</xdr:colOff>
      <xdr:row>4</xdr:row>
      <xdr:rowOff>160884</xdr:rowOff>
    </xdr:from>
    <xdr:ext cx="609653" cy="609653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1037184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951601</xdr:colOff>
      <xdr:row>6</xdr:row>
      <xdr:rowOff>741997</xdr:rowOff>
    </xdr:from>
    <xdr:to>
      <xdr:col>3</xdr:col>
      <xdr:colOff>1023601</xdr:colOff>
      <xdr:row>6</xdr:row>
      <xdr:rowOff>813997</xdr:rowOff>
    </xdr:to>
    <xdr:sp macro="" textlink="">
      <xdr:nvSpPr>
        <xdr:cNvPr id="21" name="5-конечная звезда 2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94651" y="466629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953919</xdr:colOff>
      <xdr:row>6</xdr:row>
      <xdr:rowOff>1200151</xdr:rowOff>
    </xdr:from>
    <xdr:to>
      <xdr:col>5</xdr:col>
      <xdr:colOff>89865</xdr:colOff>
      <xdr:row>6</xdr:row>
      <xdr:rowOff>1352551</xdr:rowOff>
    </xdr:to>
    <xdr:sp macro="" textlink="">
      <xdr:nvSpPr>
        <xdr:cNvPr id="22" name="Скругленный прямоугольник 21"/>
        <xdr:cNvSpPr/>
      </xdr:nvSpPr>
      <xdr:spPr>
        <a:xfrm>
          <a:off x="4078119" y="5124451"/>
          <a:ext cx="517071" cy="152400"/>
        </a:xfrm>
        <a:prstGeom prst="round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000" b="1">
              <a:solidFill>
                <a:sysClr val="windowText" lastClr="000000"/>
              </a:solidFill>
            </a:rPr>
            <a:t>6</a:t>
          </a:r>
          <a:r>
            <a:rPr lang="en-US" sz="1000" b="1">
              <a:solidFill>
                <a:sysClr val="windowText" lastClr="000000"/>
              </a:solidFill>
            </a:rPr>
            <a:t>00 </a:t>
          </a:r>
          <a:r>
            <a:rPr lang="ru-RU" sz="1000" b="1">
              <a:solidFill>
                <a:sysClr val="windowText" lastClr="000000"/>
              </a:solidFill>
            </a:rPr>
            <a:t>м</a:t>
          </a:r>
        </a:p>
      </xdr:txBody>
    </xdr:sp>
    <xdr:clientData/>
  </xdr:twoCellAnchor>
  <xdr:twoCellAnchor editAs="oneCell">
    <xdr:from>
      <xdr:col>4</xdr:col>
      <xdr:colOff>847725</xdr:colOff>
      <xdr:row>6</xdr:row>
      <xdr:rowOff>89002</xdr:rowOff>
    </xdr:from>
    <xdr:to>
      <xdr:col>5</xdr:col>
      <xdr:colOff>190500</xdr:colOff>
      <xdr:row>6</xdr:row>
      <xdr:rowOff>600075</xdr:rowOff>
    </xdr:to>
    <xdr:pic>
      <xdr:nvPicPr>
        <xdr:cNvPr id="23" name="Рисунок 22" descr="Картинки по запросу знак 2.3.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4013302"/>
          <a:ext cx="723900" cy="511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1323975</xdr:colOff>
      <xdr:row>7</xdr:row>
      <xdr:rowOff>523874</xdr:rowOff>
    </xdr:from>
    <xdr:to>
      <xdr:col>5</xdr:col>
      <xdr:colOff>1028700</xdr:colOff>
      <xdr:row>7</xdr:row>
      <xdr:rowOff>1066799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5972174"/>
          <a:ext cx="108585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1162050</xdr:colOff>
      <xdr:row>7</xdr:row>
      <xdr:rowOff>76200</xdr:rowOff>
    </xdr:from>
    <xdr:to>
      <xdr:col>4</xdr:col>
      <xdr:colOff>1162050</xdr:colOff>
      <xdr:row>7</xdr:row>
      <xdr:rowOff>1371600</xdr:rowOff>
    </xdr:to>
    <xdr:cxnSp macro="">
      <xdr:nvCxnSpPr>
        <xdr:cNvPr id="25" name="Прямая соединительная линия 24"/>
        <xdr:cNvCxnSpPr/>
      </xdr:nvCxnSpPr>
      <xdr:spPr>
        <a:xfrm>
          <a:off x="4286250" y="5524500"/>
          <a:ext cx="0" cy="129540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400050</xdr:colOff>
      <xdr:row>7</xdr:row>
      <xdr:rowOff>523875</xdr:rowOff>
    </xdr:from>
    <xdr:to>
      <xdr:col>4</xdr:col>
      <xdr:colOff>923925</xdr:colOff>
      <xdr:row>7</xdr:row>
      <xdr:rowOff>1047750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5972175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631988</xdr:colOff>
      <xdr:row>7</xdr:row>
      <xdr:rowOff>791077</xdr:rowOff>
    </xdr:from>
    <xdr:to>
      <xdr:col>3</xdr:col>
      <xdr:colOff>975073</xdr:colOff>
      <xdr:row>7</xdr:row>
      <xdr:rowOff>1126958</xdr:rowOff>
    </xdr:to>
    <xdr:sp macro="" textlink="">
      <xdr:nvSpPr>
        <xdr:cNvPr id="27" name="Дуга 26"/>
        <xdr:cNvSpPr/>
      </xdr:nvSpPr>
      <xdr:spPr>
        <a:xfrm>
          <a:off x="2175038" y="6239377"/>
          <a:ext cx="343085" cy="335881"/>
        </a:xfrm>
        <a:prstGeom prst="arc">
          <a:avLst>
            <a:gd name="adj1" fmla="val 10780261"/>
            <a:gd name="adj2" fmla="val 0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631988</xdr:colOff>
      <xdr:row>7</xdr:row>
      <xdr:rowOff>430131</xdr:rowOff>
    </xdr:from>
    <xdr:to>
      <xdr:col>3</xdr:col>
      <xdr:colOff>975073</xdr:colOff>
      <xdr:row>7</xdr:row>
      <xdr:rowOff>766012</xdr:rowOff>
    </xdr:to>
    <xdr:sp macro="" textlink="">
      <xdr:nvSpPr>
        <xdr:cNvPr id="28" name="Дуга 27"/>
        <xdr:cNvSpPr/>
      </xdr:nvSpPr>
      <xdr:spPr>
        <a:xfrm flipV="1">
          <a:off x="2175038" y="5878431"/>
          <a:ext cx="343085" cy="335881"/>
        </a:xfrm>
        <a:prstGeom prst="arc">
          <a:avLst>
            <a:gd name="adj1" fmla="val 10780261"/>
            <a:gd name="adj2" fmla="val 0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896055</xdr:colOff>
      <xdr:row>7</xdr:row>
      <xdr:rowOff>1402357</xdr:rowOff>
    </xdr:from>
    <xdr:to>
      <xdr:col>3</xdr:col>
      <xdr:colOff>971368</xdr:colOff>
      <xdr:row>7</xdr:row>
      <xdr:rowOff>1474357</xdr:rowOff>
    </xdr:to>
    <xdr:sp macro="" textlink="">
      <xdr:nvSpPr>
        <xdr:cNvPr id="29" name="Овал 28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439105" y="6850657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820221</xdr:colOff>
      <xdr:row>7</xdr:row>
      <xdr:rowOff>971911</xdr:rowOff>
    </xdr:from>
    <xdr:to>
      <xdr:col>3</xdr:col>
      <xdr:colOff>892221</xdr:colOff>
      <xdr:row>7</xdr:row>
      <xdr:rowOff>1043911</xdr:rowOff>
    </xdr:to>
    <xdr:sp macro="" textlink="">
      <xdr:nvSpPr>
        <xdr:cNvPr id="30" name="5-конечная звезда 2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363271" y="642021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1096118</xdr:colOff>
      <xdr:row>7</xdr:row>
      <xdr:rowOff>971911</xdr:rowOff>
    </xdr:from>
    <xdr:to>
      <xdr:col>3</xdr:col>
      <xdr:colOff>1168118</xdr:colOff>
      <xdr:row>7</xdr:row>
      <xdr:rowOff>1043911</xdr:rowOff>
    </xdr:to>
    <xdr:sp macro="" textlink="">
      <xdr:nvSpPr>
        <xdr:cNvPr id="31" name="5-конечная звезда 3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639168" y="642021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617245</xdr:colOff>
      <xdr:row>7</xdr:row>
      <xdr:rowOff>111673</xdr:rowOff>
    </xdr:from>
    <xdr:to>
      <xdr:col>3</xdr:col>
      <xdr:colOff>662964</xdr:colOff>
      <xdr:row>7</xdr:row>
      <xdr:rowOff>1432035</xdr:rowOff>
    </xdr:to>
    <xdr:sp macro="" textlink="">
      <xdr:nvSpPr>
        <xdr:cNvPr id="32" name="Полилиния 31"/>
        <xdr:cNvSpPr/>
      </xdr:nvSpPr>
      <xdr:spPr>
        <a:xfrm>
          <a:off x="2160295" y="5559973"/>
          <a:ext cx="45719" cy="1320362"/>
        </a:xfrm>
        <a:custGeom>
          <a:avLst/>
          <a:gdLst>
            <a:gd name="connsiteX0" fmla="*/ 59358 w 79065"/>
            <a:gd name="connsiteY0" fmla="*/ 0 h 1320362"/>
            <a:gd name="connsiteX1" fmla="*/ 238 w 79065"/>
            <a:gd name="connsiteY1" fmla="*/ 637190 h 1320362"/>
            <a:gd name="connsiteX2" fmla="*/ 79065 w 79065"/>
            <a:gd name="connsiteY2" fmla="*/ 1320362 h 13203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065" h="1320362">
              <a:moveTo>
                <a:pt x="59358" y="0"/>
              </a:moveTo>
              <a:cubicBezTo>
                <a:pt x="28156" y="208565"/>
                <a:pt x="-3046" y="417130"/>
                <a:pt x="238" y="637190"/>
              </a:cubicBezTo>
              <a:cubicBezTo>
                <a:pt x="3522" y="857250"/>
                <a:pt x="41293" y="1088806"/>
                <a:pt x="79065" y="1320362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940438</xdr:colOff>
      <xdr:row>7</xdr:row>
      <xdr:rowOff>106418</xdr:rowOff>
    </xdr:from>
    <xdr:to>
      <xdr:col>3</xdr:col>
      <xdr:colOff>986157</xdr:colOff>
      <xdr:row>7</xdr:row>
      <xdr:rowOff>1426780</xdr:rowOff>
    </xdr:to>
    <xdr:sp macro="" textlink="">
      <xdr:nvSpPr>
        <xdr:cNvPr id="33" name="Полилиния 32"/>
        <xdr:cNvSpPr/>
      </xdr:nvSpPr>
      <xdr:spPr>
        <a:xfrm flipH="1">
          <a:off x="2483488" y="5554718"/>
          <a:ext cx="45719" cy="1320362"/>
        </a:xfrm>
        <a:custGeom>
          <a:avLst/>
          <a:gdLst>
            <a:gd name="connsiteX0" fmla="*/ 59358 w 79065"/>
            <a:gd name="connsiteY0" fmla="*/ 0 h 1320362"/>
            <a:gd name="connsiteX1" fmla="*/ 238 w 79065"/>
            <a:gd name="connsiteY1" fmla="*/ 637190 h 1320362"/>
            <a:gd name="connsiteX2" fmla="*/ 79065 w 79065"/>
            <a:gd name="connsiteY2" fmla="*/ 1320362 h 13203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065" h="1320362">
              <a:moveTo>
                <a:pt x="59358" y="0"/>
              </a:moveTo>
              <a:cubicBezTo>
                <a:pt x="28156" y="208565"/>
                <a:pt x="-3046" y="417130"/>
                <a:pt x="238" y="637190"/>
              </a:cubicBezTo>
              <a:cubicBezTo>
                <a:pt x="3522" y="857250"/>
                <a:pt x="41293" y="1088806"/>
                <a:pt x="79065" y="132036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780786</xdr:colOff>
      <xdr:row>9</xdr:row>
      <xdr:rowOff>59603</xdr:rowOff>
    </xdr:from>
    <xdr:to>
      <xdr:col>3</xdr:col>
      <xdr:colOff>780786</xdr:colOff>
      <xdr:row>9</xdr:row>
      <xdr:rowOff>1385535</xdr:rowOff>
    </xdr:to>
    <xdr:cxnSp macro="">
      <xdr:nvCxnSpPr>
        <xdr:cNvPr id="34" name="Прямая со стрелкой 3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23836" y="8555903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738553</xdr:colOff>
      <xdr:row>9</xdr:row>
      <xdr:rowOff>1355772</xdr:rowOff>
    </xdr:from>
    <xdr:to>
      <xdr:col>3</xdr:col>
      <xdr:colOff>810553</xdr:colOff>
      <xdr:row>9</xdr:row>
      <xdr:rowOff>1427772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81603" y="985207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373673</xdr:colOff>
      <xdr:row>9</xdr:row>
      <xdr:rowOff>693763</xdr:rowOff>
    </xdr:from>
    <xdr:to>
      <xdr:col>3</xdr:col>
      <xdr:colOff>1488672</xdr:colOff>
      <xdr:row>9</xdr:row>
      <xdr:rowOff>805039</xdr:rowOff>
    </xdr:to>
    <xdr:cxnSp macro="">
      <xdr:nvCxnSpPr>
        <xdr:cNvPr id="36" name="Прямая соединительная линия 35"/>
        <xdr:cNvCxnSpPr/>
      </xdr:nvCxnSpPr>
      <xdr:spPr>
        <a:xfrm>
          <a:off x="1916723" y="9190063"/>
          <a:ext cx="1114999" cy="111276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63128</xdr:colOff>
      <xdr:row>9</xdr:row>
      <xdr:rowOff>660270</xdr:rowOff>
    </xdr:from>
    <xdr:to>
      <xdr:col>3</xdr:col>
      <xdr:colOff>410308</xdr:colOff>
      <xdr:row>9</xdr:row>
      <xdr:rowOff>695038</xdr:rowOff>
    </xdr:to>
    <xdr:cxnSp macro="">
      <xdr:nvCxnSpPr>
        <xdr:cNvPr id="37" name="Прямая соединительная линия 36"/>
        <xdr:cNvCxnSpPr/>
      </xdr:nvCxnSpPr>
      <xdr:spPr>
        <a:xfrm>
          <a:off x="1606178" y="9156570"/>
          <a:ext cx="347180" cy="34768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8</xdr:row>
      <xdr:rowOff>439615</xdr:rowOff>
    </xdr:from>
    <xdr:to>
      <xdr:col>3</xdr:col>
      <xdr:colOff>1465384</xdr:colOff>
      <xdr:row>8</xdr:row>
      <xdr:rowOff>864577</xdr:rowOff>
    </xdr:to>
    <xdr:cxnSp macro="">
      <xdr:nvCxnSpPr>
        <xdr:cNvPr id="38" name="Прямая соединительная линия 37"/>
        <xdr:cNvCxnSpPr/>
      </xdr:nvCxnSpPr>
      <xdr:spPr>
        <a:xfrm flipV="1">
          <a:off x="2019300" y="7411915"/>
          <a:ext cx="989134" cy="42496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130419</xdr:colOff>
      <xdr:row>8</xdr:row>
      <xdr:rowOff>871904</xdr:rowOff>
    </xdr:from>
    <xdr:to>
      <xdr:col>3</xdr:col>
      <xdr:colOff>468088</xdr:colOff>
      <xdr:row>8</xdr:row>
      <xdr:rowOff>1016977</xdr:rowOff>
    </xdr:to>
    <xdr:cxnSp macro="">
      <xdr:nvCxnSpPr>
        <xdr:cNvPr id="39" name="Прямая соединительная линия 38"/>
        <xdr:cNvCxnSpPr/>
      </xdr:nvCxnSpPr>
      <xdr:spPr>
        <a:xfrm flipV="1">
          <a:off x="1673469" y="7844204"/>
          <a:ext cx="337669" cy="145073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800414</xdr:colOff>
      <xdr:row>10</xdr:row>
      <xdr:rowOff>100853</xdr:rowOff>
    </xdr:from>
    <xdr:to>
      <xdr:col>3</xdr:col>
      <xdr:colOff>800414</xdr:colOff>
      <xdr:row>10</xdr:row>
      <xdr:rowOff>1390393</xdr:rowOff>
    </xdr:to>
    <xdr:cxnSp macro="">
      <xdr:nvCxnSpPr>
        <xdr:cNvPr id="40" name="Прямая со стрелкой 3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464" y="10121153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759421</xdr:colOff>
      <xdr:row>10</xdr:row>
      <xdr:rowOff>1372697</xdr:rowOff>
    </xdr:from>
    <xdr:to>
      <xdr:col>3</xdr:col>
      <xdr:colOff>831421</xdr:colOff>
      <xdr:row>10</xdr:row>
      <xdr:rowOff>1444697</xdr:rowOff>
    </xdr:to>
    <xdr:sp macro="" textlink="">
      <xdr:nvSpPr>
        <xdr:cNvPr id="41" name="Овал 4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1139299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974093</xdr:colOff>
      <xdr:row>10</xdr:row>
      <xdr:rowOff>739096</xdr:rowOff>
    </xdr:from>
    <xdr:to>
      <xdr:col>3</xdr:col>
      <xdr:colOff>1046093</xdr:colOff>
      <xdr:row>10</xdr:row>
      <xdr:rowOff>811096</xdr:rowOff>
    </xdr:to>
    <xdr:sp macro="" textlink="">
      <xdr:nvSpPr>
        <xdr:cNvPr id="42" name="5-конечная звезда 41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7143" y="107593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539649</xdr:colOff>
      <xdr:row>10</xdr:row>
      <xdr:rowOff>746423</xdr:rowOff>
    </xdr:from>
    <xdr:to>
      <xdr:col>3</xdr:col>
      <xdr:colOff>611649</xdr:colOff>
      <xdr:row>10</xdr:row>
      <xdr:rowOff>818423</xdr:rowOff>
    </xdr:to>
    <xdr:sp macro="" textlink="">
      <xdr:nvSpPr>
        <xdr:cNvPr id="43" name="5-конечная звезда 42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2699" y="1076672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962988</xdr:colOff>
      <xdr:row>10</xdr:row>
      <xdr:rowOff>81962</xdr:rowOff>
    </xdr:from>
    <xdr:ext cx="614775" cy="609653"/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188" y="10102262"/>
          <a:ext cx="614775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798647</xdr:colOff>
      <xdr:row>19</xdr:row>
      <xdr:rowOff>97332</xdr:rowOff>
    </xdr:from>
    <xdr:to>
      <xdr:col>3</xdr:col>
      <xdr:colOff>798647</xdr:colOff>
      <xdr:row>19</xdr:row>
      <xdr:rowOff>1386872</xdr:rowOff>
    </xdr:to>
    <xdr:cxnSp macro="">
      <xdr:nvCxnSpPr>
        <xdr:cNvPr id="45" name="Прямая со стрелкой 4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697" y="15680232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757654</xdr:colOff>
      <xdr:row>19</xdr:row>
      <xdr:rowOff>1369176</xdr:rowOff>
    </xdr:from>
    <xdr:to>
      <xdr:col>3</xdr:col>
      <xdr:colOff>829654</xdr:colOff>
      <xdr:row>19</xdr:row>
      <xdr:rowOff>1441176</xdr:rowOff>
    </xdr:to>
    <xdr:sp macro="" textlink="">
      <xdr:nvSpPr>
        <xdr:cNvPr id="46" name="Овал 4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0704" y="1695207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972326</xdr:colOff>
      <xdr:row>19</xdr:row>
      <xdr:rowOff>757987</xdr:rowOff>
    </xdr:from>
    <xdr:to>
      <xdr:col>3</xdr:col>
      <xdr:colOff>1044326</xdr:colOff>
      <xdr:row>19</xdr:row>
      <xdr:rowOff>829987</xdr:rowOff>
    </xdr:to>
    <xdr:sp macro="" textlink="">
      <xdr:nvSpPr>
        <xdr:cNvPr id="47" name="5-конечная звезда 4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5376" y="163408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537882</xdr:colOff>
      <xdr:row>19</xdr:row>
      <xdr:rowOff>765314</xdr:rowOff>
    </xdr:from>
    <xdr:to>
      <xdr:col>3</xdr:col>
      <xdr:colOff>609882</xdr:colOff>
      <xdr:row>19</xdr:row>
      <xdr:rowOff>837314</xdr:rowOff>
    </xdr:to>
    <xdr:sp macro="" textlink="">
      <xdr:nvSpPr>
        <xdr:cNvPr id="48" name="5-конечная звезда 47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0932" y="1634821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827273</xdr:colOff>
      <xdr:row>21</xdr:row>
      <xdr:rowOff>122214</xdr:rowOff>
    </xdr:from>
    <xdr:to>
      <xdr:col>3</xdr:col>
      <xdr:colOff>827273</xdr:colOff>
      <xdr:row>21</xdr:row>
      <xdr:rowOff>1414141</xdr:rowOff>
    </xdr:to>
    <xdr:cxnSp macro="">
      <xdr:nvCxnSpPr>
        <xdr:cNvPr id="49" name="Прямая со стрелкой 4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rot="10800000">
          <a:off x="2370323" y="18753114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791987</xdr:colOff>
      <xdr:row>21</xdr:row>
      <xdr:rowOff>1333498</xdr:rowOff>
    </xdr:from>
    <xdr:to>
      <xdr:col>3</xdr:col>
      <xdr:colOff>863987</xdr:colOff>
      <xdr:row>21</xdr:row>
      <xdr:rowOff>1405498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0966125">
          <a:off x="2335037" y="1996439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145676</xdr:colOff>
      <xdr:row>21</xdr:row>
      <xdr:rowOff>645694</xdr:rowOff>
    </xdr:from>
    <xdr:to>
      <xdr:col>3</xdr:col>
      <xdr:colOff>1134810</xdr:colOff>
      <xdr:row>21</xdr:row>
      <xdr:rowOff>1070656</xdr:rowOff>
    </xdr:to>
    <xdr:cxnSp macro="">
      <xdr:nvCxnSpPr>
        <xdr:cNvPr id="51" name="Прямая соединительная линия 50"/>
        <xdr:cNvCxnSpPr/>
      </xdr:nvCxnSpPr>
      <xdr:spPr>
        <a:xfrm rot="10800000" flipV="1">
          <a:off x="1688726" y="19276594"/>
          <a:ext cx="989134" cy="424962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1142972</xdr:colOff>
      <xdr:row>21</xdr:row>
      <xdr:rowOff>493294</xdr:rowOff>
    </xdr:from>
    <xdr:to>
      <xdr:col>3</xdr:col>
      <xdr:colOff>1480641</xdr:colOff>
      <xdr:row>21</xdr:row>
      <xdr:rowOff>638367</xdr:rowOff>
    </xdr:to>
    <xdr:cxnSp macro="">
      <xdr:nvCxnSpPr>
        <xdr:cNvPr id="52" name="Прямая соединительная линия 51"/>
        <xdr:cNvCxnSpPr/>
      </xdr:nvCxnSpPr>
      <xdr:spPr>
        <a:xfrm rot="10800000" flipV="1">
          <a:off x="2686022" y="19124194"/>
          <a:ext cx="337669" cy="145073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781900</xdr:colOff>
      <xdr:row>25</xdr:row>
      <xdr:rowOff>145897</xdr:rowOff>
    </xdr:from>
    <xdr:to>
      <xdr:col>3</xdr:col>
      <xdr:colOff>781900</xdr:colOff>
      <xdr:row>25</xdr:row>
      <xdr:rowOff>1437824</xdr:rowOff>
    </xdr:to>
    <xdr:cxnSp macro="">
      <xdr:nvCxnSpPr>
        <xdr:cNvPr id="53" name="Прямая со стрелкой 5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4950" y="26396797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740907</xdr:colOff>
      <xdr:row>25</xdr:row>
      <xdr:rowOff>1386510</xdr:rowOff>
    </xdr:from>
    <xdr:to>
      <xdr:col>3</xdr:col>
      <xdr:colOff>812907</xdr:colOff>
      <xdr:row>25</xdr:row>
      <xdr:rowOff>1458510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3957" y="2763741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123265</xdr:colOff>
      <xdr:row>25</xdr:row>
      <xdr:rowOff>750794</xdr:rowOff>
    </xdr:from>
    <xdr:to>
      <xdr:col>3</xdr:col>
      <xdr:colOff>773207</xdr:colOff>
      <xdr:row>25</xdr:row>
      <xdr:rowOff>918882</xdr:rowOff>
    </xdr:to>
    <xdr:sp macro="" textlink="">
      <xdr:nvSpPr>
        <xdr:cNvPr id="55" name="Полилиния 54"/>
        <xdr:cNvSpPr/>
      </xdr:nvSpPr>
      <xdr:spPr>
        <a:xfrm>
          <a:off x="1666315" y="27001694"/>
          <a:ext cx="649942" cy="168088"/>
        </a:xfrm>
        <a:custGeom>
          <a:avLst/>
          <a:gdLst>
            <a:gd name="connsiteX0" fmla="*/ 1042147 w 1042147"/>
            <a:gd name="connsiteY0" fmla="*/ 0 h 212912"/>
            <a:gd name="connsiteX1" fmla="*/ 739588 w 1042147"/>
            <a:gd name="connsiteY1" fmla="*/ 11206 h 212912"/>
            <a:gd name="connsiteX2" fmla="*/ 336176 w 1042147"/>
            <a:gd name="connsiteY2" fmla="*/ 56029 h 212912"/>
            <a:gd name="connsiteX3" fmla="*/ 0 w 1042147"/>
            <a:gd name="connsiteY3" fmla="*/ 212912 h 2129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42147" h="212912">
              <a:moveTo>
                <a:pt x="1042147" y="0"/>
              </a:moveTo>
              <a:cubicBezTo>
                <a:pt x="949698" y="934"/>
                <a:pt x="857250" y="1868"/>
                <a:pt x="739588" y="11206"/>
              </a:cubicBezTo>
              <a:cubicBezTo>
                <a:pt x="621926" y="20544"/>
                <a:pt x="459441" y="22411"/>
                <a:pt x="336176" y="56029"/>
              </a:cubicBezTo>
              <a:cubicBezTo>
                <a:pt x="212911" y="89647"/>
                <a:pt x="52294" y="181162"/>
                <a:pt x="0" y="212912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770694</xdr:colOff>
      <xdr:row>26</xdr:row>
      <xdr:rowOff>728382</xdr:rowOff>
    </xdr:from>
    <xdr:to>
      <xdr:col>3</xdr:col>
      <xdr:colOff>770694</xdr:colOff>
      <xdr:row>26</xdr:row>
      <xdr:rowOff>1404207</xdr:rowOff>
    </xdr:to>
    <xdr:cxnSp macro="">
      <xdr:nvCxnSpPr>
        <xdr:cNvPr id="56" name="Прямая со стрелкой 5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3744" y="28503282"/>
          <a:ext cx="0" cy="67582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740907</xdr:colOff>
      <xdr:row>26</xdr:row>
      <xdr:rowOff>1364098</xdr:rowOff>
    </xdr:from>
    <xdr:to>
      <xdr:col>3</xdr:col>
      <xdr:colOff>812907</xdr:colOff>
      <xdr:row>26</xdr:row>
      <xdr:rowOff>1436098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3957" y="2913899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129464</xdr:colOff>
      <xdr:row>26</xdr:row>
      <xdr:rowOff>517616</xdr:rowOff>
    </xdr:from>
    <xdr:to>
      <xdr:col>3</xdr:col>
      <xdr:colOff>1515561</xdr:colOff>
      <xdr:row>26</xdr:row>
      <xdr:rowOff>1047153</xdr:rowOff>
    </xdr:to>
    <xdr:sp macro="" textlink="">
      <xdr:nvSpPr>
        <xdr:cNvPr id="58" name="Полилиния 57"/>
        <xdr:cNvSpPr/>
      </xdr:nvSpPr>
      <xdr:spPr>
        <a:xfrm>
          <a:off x="1672514" y="28292516"/>
          <a:ext cx="1386097" cy="529537"/>
        </a:xfrm>
        <a:custGeom>
          <a:avLst/>
          <a:gdLst>
            <a:gd name="connsiteX0" fmla="*/ 1266264 w 1288330"/>
            <a:gd name="connsiteY0" fmla="*/ 16174 h 509233"/>
            <a:gd name="connsiteX1" fmla="*/ 1210235 w 1288330"/>
            <a:gd name="connsiteY1" fmla="*/ 16174 h 509233"/>
            <a:gd name="connsiteX2" fmla="*/ 627529 w 1288330"/>
            <a:gd name="connsiteY2" fmla="*/ 184262 h 509233"/>
            <a:gd name="connsiteX3" fmla="*/ 0 w 1288330"/>
            <a:gd name="connsiteY3" fmla="*/ 509233 h 509233"/>
            <a:gd name="connsiteX0" fmla="*/ 1210235 w 1210235"/>
            <a:gd name="connsiteY0" fmla="*/ 0 h 493059"/>
            <a:gd name="connsiteX1" fmla="*/ 627529 w 1210235"/>
            <a:gd name="connsiteY1" fmla="*/ 168088 h 493059"/>
            <a:gd name="connsiteX2" fmla="*/ 0 w 1210235"/>
            <a:gd name="connsiteY2" fmla="*/ 493059 h 493059"/>
            <a:gd name="connsiteX0" fmla="*/ 1339493 w 1339493"/>
            <a:gd name="connsiteY0" fmla="*/ 0 h 529537"/>
            <a:gd name="connsiteX1" fmla="*/ 627529 w 1339493"/>
            <a:gd name="connsiteY1" fmla="*/ 204566 h 529537"/>
            <a:gd name="connsiteX2" fmla="*/ 0 w 1339493"/>
            <a:gd name="connsiteY2" fmla="*/ 529537 h 529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39493" h="529537">
              <a:moveTo>
                <a:pt x="1339493" y="0"/>
              </a:moveTo>
              <a:cubicBezTo>
                <a:pt x="1233037" y="28015"/>
                <a:pt x="850778" y="116310"/>
                <a:pt x="627529" y="204566"/>
              </a:cubicBezTo>
              <a:cubicBezTo>
                <a:pt x="404280" y="292822"/>
                <a:pt x="212911" y="408140"/>
                <a:pt x="0" y="529537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108859</xdr:colOff>
      <xdr:row>27</xdr:row>
      <xdr:rowOff>734986</xdr:rowOff>
    </xdr:from>
    <xdr:to>
      <xdr:col>3</xdr:col>
      <xdr:colOff>1434791</xdr:colOff>
      <xdr:row>27</xdr:row>
      <xdr:rowOff>734986</xdr:rowOff>
    </xdr:to>
    <xdr:cxnSp macro="">
      <xdr:nvCxnSpPr>
        <xdr:cNvPr id="59" name="Прямая со стрелкой 5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5400000" flipH="1" flipV="1">
          <a:off x="2314875" y="29370920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728753</xdr:colOff>
      <xdr:row>27</xdr:row>
      <xdr:rowOff>1373211</xdr:rowOff>
    </xdr:from>
    <xdr:to>
      <xdr:col>3</xdr:col>
      <xdr:colOff>800753</xdr:colOff>
      <xdr:row>27</xdr:row>
      <xdr:rowOff>1445211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1803" y="3067211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766395</xdr:colOff>
      <xdr:row>27</xdr:row>
      <xdr:rowOff>734787</xdr:rowOff>
    </xdr:from>
    <xdr:to>
      <xdr:col>3</xdr:col>
      <xdr:colOff>766395</xdr:colOff>
      <xdr:row>27</xdr:row>
      <xdr:rowOff>1438808</xdr:rowOff>
    </xdr:to>
    <xdr:cxnSp macro="">
      <xdr:nvCxnSpPr>
        <xdr:cNvPr id="61" name="Прямая соединительная линия 60"/>
        <xdr:cNvCxnSpPr/>
      </xdr:nvCxnSpPr>
      <xdr:spPr>
        <a:xfrm rot="16200000" flipH="1">
          <a:off x="1957434" y="30385698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772964</xdr:colOff>
      <xdr:row>28</xdr:row>
      <xdr:rowOff>87445</xdr:rowOff>
    </xdr:from>
    <xdr:to>
      <xdr:col>3</xdr:col>
      <xdr:colOff>772964</xdr:colOff>
      <xdr:row>28</xdr:row>
      <xdr:rowOff>1413377</xdr:rowOff>
    </xdr:to>
    <xdr:cxnSp macro="">
      <xdr:nvCxnSpPr>
        <xdr:cNvPr id="62" name="Прямая со стрелкой 6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0800000" flipV="1">
          <a:off x="2316014" y="30910345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740298</xdr:colOff>
      <xdr:row>28</xdr:row>
      <xdr:rowOff>1361666</xdr:rowOff>
    </xdr:from>
    <xdr:to>
      <xdr:col>3</xdr:col>
      <xdr:colOff>812298</xdr:colOff>
      <xdr:row>28</xdr:row>
      <xdr:rowOff>1433666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flipH="1">
          <a:off x="2283348" y="3218456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772766</xdr:colOff>
      <xdr:row>28</xdr:row>
      <xdr:rowOff>744981</xdr:rowOff>
    </xdr:from>
    <xdr:to>
      <xdr:col>3</xdr:col>
      <xdr:colOff>1476787</xdr:colOff>
      <xdr:row>28</xdr:row>
      <xdr:rowOff>744981</xdr:rowOff>
    </xdr:to>
    <xdr:cxnSp macro="">
      <xdr:nvCxnSpPr>
        <xdr:cNvPr id="64" name="Прямая соединительная линия 63"/>
        <xdr:cNvCxnSpPr/>
      </xdr:nvCxnSpPr>
      <xdr:spPr>
        <a:xfrm>
          <a:off x="2315816" y="31567881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108859</xdr:colOff>
      <xdr:row>29</xdr:row>
      <xdr:rowOff>734986</xdr:rowOff>
    </xdr:from>
    <xdr:to>
      <xdr:col>3</xdr:col>
      <xdr:colOff>1434791</xdr:colOff>
      <xdr:row>29</xdr:row>
      <xdr:rowOff>734986</xdr:rowOff>
    </xdr:to>
    <xdr:cxnSp macro="">
      <xdr:nvCxnSpPr>
        <xdr:cNvPr id="65" name="Прямая со стрелкой 6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5400000" flipH="1" flipV="1">
          <a:off x="2314875" y="32418920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728753</xdr:colOff>
      <xdr:row>29</xdr:row>
      <xdr:rowOff>1373211</xdr:rowOff>
    </xdr:from>
    <xdr:to>
      <xdr:col>3</xdr:col>
      <xdr:colOff>800753</xdr:colOff>
      <xdr:row>29</xdr:row>
      <xdr:rowOff>1445211</xdr:rowOff>
    </xdr:to>
    <xdr:sp macro="" textlink="">
      <xdr:nvSpPr>
        <xdr:cNvPr id="66" name="Овал 6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1803" y="3372011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766395</xdr:colOff>
      <xdr:row>29</xdr:row>
      <xdr:rowOff>95253</xdr:rowOff>
    </xdr:from>
    <xdr:to>
      <xdr:col>3</xdr:col>
      <xdr:colOff>766395</xdr:colOff>
      <xdr:row>29</xdr:row>
      <xdr:rowOff>1438808</xdr:rowOff>
    </xdr:to>
    <xdr:cxnSp macro="">
      <xdr:nvCxnSpPr>
        <xdr:cNvPr id="67" name="Прямая соединительная линия 66"/>
        <xdr:cNvCxnSpPr/>
      </xdr:nvCxnSpPr>
      <xdr:spPr>
        <a:xfrm>
          <a:off x="2309445" y="32442153"/>
          <a:ext cx="0" cy="134355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108860</xdr:colOff>
      <xdr:row>31</xdr:row>
      <xdr:rowOff>721380</xdr:rowOff>
    </xdr:from>
    <xdr:to>
      <xdr:col>3</xdr:col>
      <xdr:colOff>1434792</xdr:colOff>
      <xdr:row>31</xdr:row>
      <xdr:rowOff>721380</xdr:rowOff>
    </xdr:to>
    <xdr:cxnSp macro="">
      <xdr:nvCxnSpPr>
        <xdr:cNvPr id="68" name="Прямая со стрелкой 6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5400000" flipH="1" flipV="1">
          <a:off x="2314876" y="35453314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728754</xdr:colOff>
      <xdr:row>31</xdr:row>
      <xdr:rowOff>1359605</xdr:rowOff>
    </xdr:from>
    <xdr:to>
      <xdr:col>3</xdr:col>
      <xdr:colOff>800754</xdr:colOff>
      <xdr:row>31</xdr:row>
      <xdr:rowOff>1431605</xdr:rowOff>
    </xdr:to>
    <xdr:sp macro="" textlink="">
      <xdr:nvSpPr>
        <xdr:cNvPr id="69" name="Овал 68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1804" y="3675450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766396</xdr:colOff>
      <xdr:row>31</xdr:row>
      <xdr:rowOff>721181</xdr:rowOff>
    </xdr:from>
    <xdr:to>
      <xdr:col>3</xdr:col>
      <xdr:colOff>766396</xdr:colOff>
      <xdr:row>31</xdr:row>
      <xdr:rowOff>1425202</xdr:rowOff>
    </xdr:to>
    <xdr:cxnSp macro="">
      <xdr:nvCxnSpPr>
        <xdr:cNvPr id="70" name="Прямая соединительная линия 69"/>
        <xdr:cNvCxnSpPr/>
      </xdr:nvCxnSpPr>
      <xdr:spPr>
        <a:xfrm rot="16200000" flipH="1">
          <a:off x="1957435" y="36468092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748565</xdr:colOff>
      <xdr:row>32</xdr:row>
      <xdr:rowOff>68036</xdr:rowOff>
    </xdr:from>
    <xdr:to>
      <xdr:col>3</xdr:col>
      <xdr:colOff>748565</xdr:colOff>
      <xdr:row>32</xdr:row>
      <xdr:rowOff>1357576</xdr:rowOff>
    </xdr:to>
    <xdr:cxnSp macro="">
      <xdr:nvCxnSpPr>
        <xdr:cNvPr id="71" name="Прямая со стрелкой 7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91615" y="36986936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707572</xdr:colOff>
      <xdr:row>32</xdr:row>
      <xdr:rowOff>1339880</xdr:rowOff>
    </xdr:from>
    <xdr:to>
      <xdr:col>3</xdr:col>
      <xdr:colOff>779572</xdr:colOff>
      <xdr:row>32</xdr:row>
      <xdr:rowOff>1411880</xdr:rowOff>
    </xdr:to>
    <xdr:sp macro="" textlink="">
      <xdr:nvSpPr>
        <xdr:cNvPr id="72" name="Овал 7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50622" y="382587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748565</xdr:colOff>
      <xdr:row>39</xdr:row>
      <xdr:rowOff>81643</xdr:rowOff>
    </xdr:from>
    <xdr:to>
      <xdr:col>3</xdr:col>
      <xdr:colOff>748565</xdr:colOff>
      <xdr:row>39</xdr:row>
      <xdr:rowOff>1371183</xdr:rowOff>
    </xdr:to>
    <xdr:cxnSp macro="">
      <xdr:nvCxnSpPr>
        <xdr:cNvPr id="73" name="Прямая со стрелкой 7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91615" y="47668543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707572</xdr:colOff>
      <xdr:row>39</xdr:row>
      <xdr:rowOff>1353487</xdr:rowOff>
    </xdr:from>
    <xdr:to>
      <xdr:col>3</xdr:col>
      <xdr:colOff>779572</xdr:colOff>
      <xdr:row>39</xdr:row>
      <xdr:rowOff>1425487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50622" y="4894038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91924</xdr:colOff>
      <xdr:row>40</xdr:row>
      <xdr:rowOff>442006</xdr:rowOff>
    </xdr:from>
    <xdr:to>
      <xdr:col>3</xdr:col>
      <xdr:colOff>1463598</xdr:colOff>
      <xdr:row>40</xdr:row>
      <xdr:rowOff>1034548</xdr:rowOff>
    </xdr:to>
    <xdr:cxnSp macro="">
      <xdr:nvCxnSpPr>
        <xdr:cNvPr id="75" name="Прямая со стрелкой 7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34974" y="49552906"/>
          <a:ext cx="1371674" cy="592542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724339</xdr:colOff>
      <xdr:row>40</xdr:row>
      <xdr:rowOff>1400940</xdr:rowOff>
    </xdr:from>
    <xdr:to>
      <xdr:col>3</xdr:col>
      <xdr:colOff>796339</xdr:colOff>
      <xdr:row>40</xdr:row>
      <xdr:rowOff>1472940</xdr:rowOff>
    </xdr:to>
    <xdr:sp macro="" textlink="">
      <xdr:nvSpPr>
        <xdr:cNvPr id="76" name="Овал 7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6967939">
          <a:off x="2267389" y="5051184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952500</xdr:colOff>
      <xdr:row>19</xdr:row>
      <xdr:rowOff>108857</xdr:rowOff>
    </xdr:from>
    <xdr:to>
      <xdr:col>5</xdr:col>
      <xdr:colOff>173235</xdr:colOff>
      <xdr:row>19</xdr:row>
      <xdr:rowOff>718510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15691757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809431</xdr:colOff>
      <xdr:row>41</xdr:row>
      <xdr:rowOff>661766</xdr:rowOff>
    </xdr:from>
    <xdr:to>
      <xdr:col>3</xdr:col>
      <xdr:colOff>1171904</xdr:colOff>
      <xdr:row>41</xdr:row>
      <xdr:rowOff>1079291</xdr:rowOff>
    </xdr:to>
    <xdr:sp macro="" textlink="">
      <xdr:nvSpPr>
        <xdr:cNvPr id="78" name="Полилиния 77"/>
        <xdr:cNvSpPr/>
      </xdr:nvSpPr>
      <xdr:spPr>
        <a:xfrm>
          <a:off x="2352481" y="51296666"/>
          <a:ext cx="362473" cy="417525"/>
        </a:xfrm>
        <a:custGeom>
          <a:avLst/>
          <a:gdLst>
            <a:gd name="connsiteX0" fmla="*/ 0 w 541421"/>
            <a:gd name="connsiteY0" fmla="*/ 447633 h 447633"/>
            <a:gd name="connsiteX1" fmla="*/ 55144 w 541421"/>
            <a:gd name="connsiteY1" fmla="*/ 176923 h 447633"/>
            <a:gd name="connsiteX2" fmla="*/ 150394 w 541421"/>
            <a:gd name="connsiteY2" fmla="*/ 36554 h 447633"/>
            <a:gd name="connsiteX3" fmla="*/ 345907 w 541421"/>
            <a:gd name="connsiteY3" fmla="*/ 1462 h 447633"/>
            <a:gd name="connsiteX4" fmla="*/ 541421 w 541421"/>
            <a:gd name="connsiteY4" fmla="*/ 71647 h 447633"/>
            <a:gd name="connsiteX0" fmla="*/ 0 w 345907"/>
            <a:gd name="connsiteY0" fmla="*/ 447633 h 447633"/>
            <a:gd name="connsiteX1" fmla="*/ 55144 w 345907"/>
            <a:gd name="connsiteY1" fmla="*/ 176923 h 447633"/>
            <a:gd name="connsiteX2" fmla="*/ 150394 w 345907"/>
            <a:gd name="connsiteY2" fmla="*/ 36554 h 447633"/>
            <a:gd name="connsiteX3" fmla="*/ 345907 w 345907"/>
            <a:gd name="connsiteY3" fmla="*/ 1462 h 447633"/>
            <a:gd name="connsiteX0" fmla="*/ 0 w 362473"/>
            <a:gd name="connsiteY0" fmla="*/ 417525 h 417525"/>
            <a:gd name="connsiteX1" fmla="*/ 55144 w 362473"/>
            <a:gd name="connsiteY1" fmla="*/ 146815 h 417525"/>
            <a:gd name="connsiteX2" fmla="*/ 150394 w 362473"/>
            <a:gd name="connsiteY2" fmla="*/ 6446 h 417525"/>
            <a:gd name="connsiteX3" fmla="*/ 362473 w 362473"/>
            <a:gd name="connsiteY3" fmla="*/ 62463 h 417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62473" h="417525">
              <a:moveTo>
                <a:pt x="0" y="417525"/>
              </a:moveTo>
              <a:cubicBezTo>
                <a:pt x="15039" y="316426"/>
                <a:pt x="30078" y="215328"/>
                <a:pt x="55144" y="146815"/>
              </a:cubicBezTo>
              <a:cubicBezTo>
                <a:pt x="80210" y="78302"/>
                <a:pt x="101934" y="35689"/>
                <a:pt x="150394" y="6446"/>
              </a:cubicBezTo>
              <a:cubicBezTo>
                <a:pt x="198854" y="-22797"/>
                <a:pt x="297302" y="56614"/>
                <a:pt x="362473" y="62463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952500</xdr:colOff>
      <xdr:row>6</xdr:row>
      <xdr:rowOff>609600</xdr:rowOff>
    </xdr:from>
    <xdr:to>
      <xdr:col>5</xdr:col>
      <xdr:colOff>95250</xdr:colOff>
      <xdr:row>6</xdr:row>
      <xdr:rowOff>1133475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4533900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561975</xdr:colOff>
      <xdr:row>9</xdr:row>
      <xdr:rowOff>581025</xdr:rowOff>
    </xdr:from>
    <xdr:to>
      <xdr:col>5</xdr:col>
      <xdr:colOff>681226</xdr:colOff>
      <xdr:row>9</xdr:row>
      <xdr:rowOff>971550</xdr:rowOff>
    </xdr:to>
    <xdr:sp macro="" textlink="">
      <xdr:nvSpPr>
        <xdr:cNvPr id="80" name="Прямоугольник 79"/>
        <xdr:cNvSpPr/>
      </xdr:nvSpPr>
      <xdr:spPr>
        <a:xfrm>
          <a:off x="3686175" y="9077325"/>
          <a:ext cx="1500376" cy="390525"/>
        </a:xfrm>
        <a:prstGeom prst="rect">
          <a:avLst/>
        </a:prstGeom>
        <a:solidFill>
          <a:srgbClr val="0070C0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600" b="1">
              <a:solidFill>
                <a:schemeClr val="bg1"/>
              </a:solidFill>
            </a:rPr>
            <a:t>???</a:t>
          </a:r>
          <a:r>
            <a:rPr lang="ru-RU" sz="1600" b="1">
              <a:solidFill>
                <a:schemeClr val="bg1"/>
              </a:solidFill>
            </a:rPr>
            <a:t>         2</a:t>
          </a:r>
        </a:p>
      </xdr:txBody>
    </xdr:sp>
    <xdr:clientData/>
  </xdr:twoCellAnchor>
  <xdr:twoCellAnchor>
    <xdr:from>
      <xdr:col>5</xdr:col>
      <xdr:colOff>415177</xdr:colOff>
      <xdr:row>9</xdr:row>
      <xdr:rowOff>699247</xdr:rowOff>
    </xdr:from>
    <xdr:to>
      <xdr:col>5</xdr:col>
      <xdr:colOff>573020</xdr:colOff>
      <xdr:row>9</xdr:row>
      <xdr:rowOff>885979</xdr:rowOff>
    </xdr:to>
    <xdr:sp macro="" textlink="">
      <xdr:nvSpPr>
        <xdr:cNvPr id="81" name="Стрелка вправо 80"/>
        <xdr:cNvSpPr/>
      </xdr:nvSpPr>
      <xdr:spPr>
        <a:xfrm>
          <a:off x="4920502" y="9195547"/>
          <a:ext cx="157843" cy="186732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116862</xdr:colOff>
      <xdr:row>22</xdr:row>
      <xdr:rowOff>145916</xdr:rowOff>
    </xdr:from>
    <xdr:to>
      <xdr:col>5</xdr:col>
      <xdr:colOff>231241</xdr:colOff>
      <xdr:row>22</xdr:row>
      <xdr:rowOff>536441</xdr:rowOff>
    </xdr:to>
    <xdr:sp macro="" textlink="">
      <xdr:nvSpPr>
        <xdr:cNvPr id="82" name="Прямоугольник 81"/>
        <xdr:cNvSpPr/>
      </xdr:nvSpPr>
      <xdr:spPr>
        <a:xfrm>
          <a:off x="3241062" y="20300816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ХИСЛАВИЧИ</a:t>
          </a:r>
        </a:p>
      </xdr:txBody>
    </xdr:sp>
    <xdr:clientData/>
  </xdr:twoCellAnchor>
  <xdr:twoCellAnchor>
    <xdr:from>
      <xdr:col>3</xdr:col>
      <xdr:colOff>822740</xdr:colOff>
      <xdr:row>22</xdr:row>
      <xdr:rowOff>76200</xdr:rowOff>
    </xdr:from>
    <xdr:to>
      <xdr:col>3</xdr:col>
      <xdr:colOff>822740</xdr:colOff>
      <xdr:row>22</xdr:row>
      <xdr:rowOff>1365740</xdr:rowOff>
    </xdr:to>
    <xdr:cxnSp macro="">
      <xdr:nvCxnSpPr>
        <xdr:cNvPr id="83" name="Прямая со стрелкой 8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65790" y="20231100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781747</xdr:colOff>
      <xdr:row>22</xdr:row>
      <xdr:rowOff>1348044</xdr:rowOff>
    </xdr:from>
    <xdr:to>
      <xdr:col>3</xdr:col>
      <xdr:colOff>853747</xdr:colOff>
      <xdr:row>22</xdr:row>
      <xdr:rowOff>1420044</xdr:rowOff>
    </xdr:to>
    <xdr:sp macro="" textlink="">
      <xdr:nvSpPr>
        <xdr:cNvPr id="84" name="Овал 8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24797" y="2150294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996419</xdr:colOff>
      <xdr:row>22</xdr:row>
      <xdr:rowOff>736855</xdr:rowOff>
    </xdr:from>
    <xdr:to>
      <xdr:col>3</xdr:col>
      <xdr:colOff>1068419</xdr:colOff>
      <xdr:row>22</xdr:row>
      <xdr:rowOff>808855</xdr:rowOff>
    </xdr:to>
    <xdr:sp macro="" textlink="">
      <xdr:nvSpPr>
        <xdr:cNvPr id="85" name="5-конечная звезда 8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39469" y="2089175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5</xdr:col>
      <xdr:colOff>372035</xdr:colOff>
      <xdr:row>22</xdr:row>
      <xdr:rowOff>555</xdr:rowOff>
    </xdr:from>
    <xdr:to>
      <xdr:col>5</xdr:col>
      <xdr:colOff>986810</xdr:colOff>
      <xdr:row>22</xdr:row>
      <xdr:rowOff>610208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7360" y="20155455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876300</xdr:colOff>
      <xdr:row>29</xdr:row>
      <xdr:rowOff>847725</xdr:rowOff>
    </xdr:from>
    <xdr:to>
      <xdr:col>3</xdr:col>
      <xdr:colOff>948300</xdr:colOff>
      <xdr:row>29</xdr:row>
      <xdr:rowOff>919725</xdr:rowOff>
    </xdr:to>
    <xdr:sp macro="" textlink="">
      <xdr:nvSpPr>
        <xdr:cNvPr id="90" name="5-конечная звезда 8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19350" y="3319462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971550</xdr:colOff>
      <xdr:row>29</xdr:row>
      <xdr:rowOff>419100</xdr:rowOff>
    </xdr:from>
    <xdr:to>
      <xdr:col>5</xdr:col>
      <xdr:colOff>291081</xdr:colOff>
      <xdr:row>29</xdr:row>
      <xdr:rowOff>1038225</xdr:rowOff>
    </xdr:to>
    <xdr:pic>
      <xdr:nvPicPr>
        <xdr:cNvPr id="91" name="Рисунок 90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32766000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728753</xdr:colOff>
      <xdr:row>30</xdr:row>
      <xdr:rowOff>1401786</xdr:rowOff>
    </xdr:from>
    <xdr:to>
      <xdr:col>3</xdr:col>
      <xdr:colOff>800753</xdr:colOff>
      <xdr:row>30</xdr:row>
      <xdr:rowOff>1473786</xdr:rowOff>
    </xdr:to>
    <xdr:sp macro="" textlink="">
      <xdr:nvSpPr>
        <xdr:cNvPr id="92" name="Овал 91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1803" y="352726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123825</xdr:colOff>
      <xdr:row>30</xdr:row>
      <xdr:rowOff>723900</xdr:rowOff>
    </xdr:from>
    <xdr:to>
      <xdr:col>3</xdr:col>
      <xdr:colOff>1466850</xdr:colOff>
      <xdr:row>30</xdr:row>
      <xdr:rowOff>790575</xdr:rowOff>
    </xdr:to>
    <xdr:sp macro="" textlink="">
      <xdr:nvSpPr>
        <xdr:cNvPr id="93" name="Полилиния 92"/>
        <xdr:cNvSpPr/>
      </xdr:nvSpPr>
      <xdr:spPr>
        <a:xfrm>
          <a:off x="1666875" y="34594800"/>
          <a:ext cx="1343025" cy="66675"/>
        </a:xfrm>
        <a:custGeom>
          <a:avLst/>
          <a:gdLst>
            <a:gd name="connsiteX0" fmla="*/ 1343025 w 1343025"/>
            <a:gd name="connsiteY0" fmla="*/ 66675 h 66675"/>
            <a:gd name="connsiteX1" fmla="*/ 609600 w 1343025"/>
            <a:gd name="connsiteY1" fmla="*/ 66675 h 66675"/>
            <a:gd name="connsiteX2" fmla="*/ 0 w 1343025"/>
            <a:gd name="connsiteY2" fmla="*/ 0 h 666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43025" h="66675">
              <a:moveTo>
                <a:pt x="1343025" y="66675"/>
              </a:moveTo>
              <a:lnTo>
                <a:pt x="609600" y="66675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762000</xdr:colOff>
      <xdr:row>30</xdr:row>
      <xdr:rowOff>76200</xdr:rowOff>
    </xdr:from>
    <xdr:to>
      <xdr:col>3</xdr:col>
      <xdr:colOff>847725</xdr:colOff>
      <xdr:row>30</xdr:row>
      <xdr:rowOff>1438275</xdr:rowOff>
    </xdr:to>
    <xdr:sp macro="" textlink="">
      <xdr:nvSpPr>
        <xdr:cNvPr id="94" name="Полилиния 93"/>
        <xdr:cNvSpPr/>
      </xdr:nvSpPr>
      <xdr:spPr>
        <a:xfrm>
          <a:off x="2305050" y="33947100"/>
          <a:ext cx="85725" cy="1362075"/>
        </a:xfrm>
        <a:custGeom>
          <a:avLst/>
          <a:gdLst>
            <a:gd name="connsiteX0" fmla="*/ 0 w 85725"/>
            <a:gd name="connsiteY0" fmla="*/ 1362075 h 1362075"/>
            <a:gd name="connsiteX1" fmla="*/ 0 w 85725"/>
            <a:gd name="connsiteY1" fmla="*/ 704850 h 1362075"/>
            <a:gd name="connsiteX2" fmla="*/ 85725 w 85725"/>
            <a:gd name="connsiteY2" fmla="*/ 0 h 1362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5725" h="1362075">
              <a:moveTo>
                <a:pt x="0" y="1362075"/>
              </a:moveTo>
              <a:lnTo>
                <a:pt x="0" y="704850"/>
              </a:lnTo>
              <a:lnTo>
                <a:pt x="85725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552450</xdr:colOff>
      <xdr:row>32</xdr:row>
      <xdr:rowOff>733425</xdr:rowOff>
    </xdr:from>
    <xdr:to>
      <xdr:col>3</xdr:col>
      <xdr:colOff>624450</xdr:colOff>
      <xdr:row>32</xdr:row>
      <xdr:rowOff>805425</xdr:rowOff>
    </xdr:to>
    <xdr:sp macro="" textlink="">
      <xdr:nvSpPr>
        <xdr:cNvPr id="95" name="5-конечная звезда 9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095500" y="3765232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510423</xdr:colOff>
      <xdr:row>39</xdr:row>
      <xdr:rowOff>527129</xdr:rowOff>
    </xdr:from>
    <xdr:to>
      <xdr:col>5</xdr:col>
      <xdr:colOff>624802</xdr:colOff>
      <xdr:row>39</xdr:row>
      <xdr:rowOff>917654</xdr:rowOff>
    </xdr:to>
    <xdr:sp macro="" textlink="">
      <xdr:nvSpPr>
        <xdr:cNvPr id="96" name="Прямоугольник 95"/>
        <xdr:cNvSpPr/>
      </xdr:nvSpPr>
      <xdr:spPr>
        <a:xfrm>
          <a:off x="3634623" y="48114029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ХИСЛАВИЧИ</a:t>
          </a:r>
        </a:p>
      </xdr:txBody>
    </xdr:sp>
    <xdr:clientData/>
  </xdr:twoCellAnchor>
  <xdr:twoCellAnchor>
    <xdr:from>
      <xdr:col>3</xdr:col>
      <xdr:colOff>563217</xdr:colOff>
      <xdr:row>39</xdr:row>
      <xdr:rowOff>728158</xdr:rowOff>
    </xdr:from>
    <xdr:to>
      <xdr:col>3</xdr:col>
      <xdr:colOff>635217</xdr:colOff>
      <xdr:row>39</xdr:row>
      <xdr:rowOff>800158</xdr:rowOff>
    </xdr:to>
    <xdr:sp macro="" textlink="">
      <xdr:nvSpPr>
        <xdr:cNvPr id="97" name="5-конечная звезда 9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106267" y="4831505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755591</xdr:colOff>
      <xdr:row>40</xdr:row>
      <xdr:rowOff>385141</xdr:rowOff>
    </xdr:from>
    <xdr:to>
      <xdr:col>3</xdr:col>
      <xdr:colOff>755591</xdr:colOff>
      <xdr:row>40</xdr:row>
      <xdr:rowOff>1434703</xdr:rowOff>
    </xdr:to>
    <xdr:cxnSp macro="">
      <xdr:nvCxnSpPr>
        <xdr:cNvPr id="98" name="Прямая со стрелкой 9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298641" y="49496041"/>
          <a:ext cx="0" cy="104956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755591</xdr:colOff>
      <xdr:row>40</xdr:row>
      <xdr:rowOff>22001</xdr:rowOff>
    </xdr:from>
    <xdr:to>
      <xdr:col>3</xdr:col>
      <xdr:colOff>755591</xdr:colOff>
      <xdr:row>40</xdr:row>
      <xdr:rowOff>357187</xdr:rowOff>
    </xdr:to>
    <xdr:cxnSp macro="">
      <xdr:nvCxnSpPr>
        <xdr:cNvPr id="99" name="Прямая со стрелкой 9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298641" y="49132901"/>
          <a:ext cx="0" cy="335186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517071</xdr:colOff>
      <xdr:row>39</xdr:row>
      <xdr:rowOff>525236</xdr:rowOff>
    </xdr:from>
    <xdr:to>
      <xdr:col>5</xdr:col>
      <xdr:colOff>615042</xdr:colOff>
      <xdr:row>39</xdr:row>
      <xdr:rowOff>917121</xdr:rowOff>
    </xdr:to>
    <xdr:cxnSp macro="">
      <xdr:nvCxnSpPr>
        <xdr:cNvPr id="100" name="Прямая соединительная линия 99"/>
        <xdr:cNvCxnSpPr/>
      </xdr:nvCxnSpPr>
      <xdr:spPr>
        <a:xfrm flipV="1">
          <a:off x="3641271" y="48112136"/>
          <a:ext cx="1479096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78441</xdr:colOff>
      <xdr:row>23</xdr:row>
      <xdr:rowOff>608175</xdr:rowOff>
    </xdr:from>
    <xdr:to>
      <xdr:col>3</xdr:col>
      <xdr:colOff>1445559</xdr:colOff>
      <xdr:row>23</xdr:row>
      <xdr:rowOff>918882</xdr:rowOff>
    </xdr:to>
    <xdr:cxnSp macro="">
      <xdr:nvCxnSpPr>
        <xdr:cNvPr id="101" name="Прямая соединительная линия 100"/>
        <xdr:cNvCxnSpPr/>
      </xdr:nvCxnSpPr>
      <xdr:spPr>
        <a:xfrm flipH="1">
          <a:off x="1621491" y="23811075"/>
          <a:ext cx="1367118" cy="310707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747973</xdr:colOff>
      <xdr:row>23</xdr:row>
      <xdr:rowOff>1380965</xdr:rowOff>
    </xdr:from>
    <xdr:to>
      <xdr:col>3</xdr:col>
      <xdr:colOff>819973</xdr:colOff>
      <xdr:row>23</xdr:row>
      <xdr:rowOff>1452965</xdr:rowOff>
    </xdr:to>
    <xdr:sp macro="" textlink="">
      <xdr:nvSpPr>
        <xdr:cNvPr id="102" name="Овал 101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1023" y="2458386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705970</xdr:colOff>
      <xdr:row>23</xdr:row>
      <xdr:rowOff>78442</xdr:rowOff>
    </xdr:from>
    <xdr:to>
      <xdr:col>3</xdr:col>
      <xdr:colOff>784412</xdr:colOff>
      <xdr:row>23</xdr:row>
      <xdr:rowOff>1445560</xdr:rowOff>
    </xdr:to>
    <xdr:sp macro="" textlink="">
      <xdr:nvSpPr>
        <xdr:cNvPr id="103" name="Полилиния 102"/>
        <xdr:cNvSpPr/>
      </xdr:nvSpPr>
      <xdr:spPr>
        <a:xfrm>
          <a:off x="2249020" y="23281342"/>
          <a:ext cx="78442" cy="1367118"/>
        </a:xfrm>
        <a:custGeom>
          <a:avLst/>
          <a:gdLst>
            <a:gd name="connsiteX0" fmla="*/ 67236 w 67236"/>
            <a:gd name="connsiteY0" fmla="*/ 1232647 h 1232647"/>
            <a:gd name="connsiteX1" fmla="*/ 56030 w 67236"/>
            <a:gd name="connsiteY1" fmla="*/ 593912 h 1232647"/>
            <a:gd name="connsiteX2" fmla="*/ 0 w 67236"/>
            <a:gd name="connsiteY2" fmla="*/ 0 h 12326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236" h="1232647">
              <a:moveTo>
                <a:pt x="67236" y="1232647"/>
              </a:moveTo>
              <a:cubicBezTo>
                <a:pt x="67236" y="1016000"/>
                <a:pt x="67236" y="799353"/>
                <a:pt x="56030" y="593912"/>
              </a:cubicBezTo>
              <a:cubicBezTo>
                <a:pt x="44824" y="388471"/>
                <a:pt x="22412" y="194235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801412</xdr:colOff>
      <xdr:row>24</xdr:row>
      <xdr:rowOff>728382</xdr:rowOff>
    </xdr:from>
    <xdr:to>
      <xdr:col>3</xdr:col>
      <xdr:colOff>801412</xdr:colOff>
      <xdr:row>24</xdr:row>
      <xdr:rowOff>1377111</xdr:rowOff>
    </xdr:to>
    <xdr:cxnSp macro="">
      <xdr:nvCxnSpPr>
        <xdr:cNvPr id="104" name="Прямая со стрелкой 10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4462" y="25455282"/>
          <a:ext cx="0" cy="648729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759179</xdr:colOff>
      <xdr:row>24</xdr:row>
      <xdr:rowOff>1362386</xdr:rowOff>
    </xdr:from>
    <xdr:to>
      <xdr:col>3</xdr:col>
      <xdr:colOff>831179</xdr:colOff>
      <xdr:row>24</xdr:row>
      <xdr:rowOff>1434386</xdr:rowOff>
    </xdr:to>
    <xdr:sp macro="" textlink="">
      <xdr:nvSpPr>
        <xdr:cNvPr id="105" name="Овал 10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2229" y="260892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800409</xdr:colOff>
      <xdr:row>24</xdr:row>
      <xdr:rowOff>147460</xdr:rowOff>
    </xdr:from>
    <xdr:to>
      <xdr:col>3</xdr:col>
      <xdr:colOff>1275686</xdr:colOff>
      <xdr:row>24</xdr:row>
      <xdr:rowOff>724662</xdr:rowOff>
    </xdr:to>
    <xdr:cxnSp macro="">
      <xdr:nvCxnSpPr>
        <xdr:cNvPr id="106" name="Прямая соединительная линия 105"/>
        <xdr:cNvCxnSpPr/>
      </xdr:nvCxnSpPr>
      <xdr:spPr>
        <a:xfrm flipV="1">
          <a:off x="2343459" y="24874360"/>
          <a:ext cx="475277" cy="577202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95376</xdr:colOff>
      <xdr:row>24</xdr:row>
      <xdr:rowOff>721506</xdr:rowOff>
    </xdr:from>
    <xdr:to>
      <xdr:col>3</xdr:col>
      <xdr:colOff>799947</xdr:colOff>
      <xdr:row>24</xdr:row>
      <xdr:rowOff>822158</xdr:rowOff>
    </xdr:to>
    <xdr:cxnSp macro="">
      <xdr:nvCxnSpPr>
        <xdr:cNvPr id="107" name="Прямая со стрелкой 10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1638426" y="25448406"/>
          <a:ext cx="704571" cy="10065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776236</xdr:colOff>
      <xdr:row>4</xdr:row>
      <xdr:rowOff>92048</xdr:rowOff>
    </xdr:from>
    <xdr:to>
      <xdr:col>3</xdr:col>
      <xdr:colOff>776236</xdr:colOff>
      <xdr:row>4</xdr:row>
      <xdr:rowOff>1381588</xdr:rowOff>
    </xdr:to>
    <xdr:cxnSp macro="">
      <xdr:nvCxnSpPr>
        <xdr:cNvPr id="108" name="Прямая со стрелкой 10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9286" y="968348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735243</xdr:colOff>
      <xdr:row>4</xdr:row>
      <xdr:rowOff>1363892</xdr:rowOff>
    </xdr:from>
    <xdr:to>
      <xdr:col>3</xdr:col>
      <xdr:colOff>807243</xdr:colOff>
      <xdr:row>4</xdr:row>
      <xdr:rowOff>1435892</xdr:rowOff>
    </xdr:to>
    <xdr:sp macro="" textlink="">
      <xdr:nvSpPr>
        <xdr:cNvPr id="109" name="Овал 10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8293" y="22401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938714</xdr:colOff>
      <xdr:row>4</xdr:row>
      <xdr:rowOff>741997</xdr:rowOff>
    </xdr:from>
    <xdr:to>
      <xdr:col>3</xdr:col>
      <xdr:colOff>1010714</xdr:colOff>
      <xdr:row>4</xdr:row>
      <xdr:rowOff>813997</xdr:rowOff>
    </xdr:to>
    <xdr:sp macro="" textlink="">
      <xdr:nvSpPr>
        <xdr:cNvPr id="110" name="5-конечная звезда 10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1764" y="161829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526682</xdr:colOff>
      <xdr:row>4</xdr:row>
      <xdr:rowOff>749324</xdr:rowOff>
    </xdr:from>
    <xdr:to>
      <xdr:col>3</xdr:col>
      <xdr:colOff>598682</xdr:colOff>
      <xdr:row>4</xdr:row>
      <xdr:rowOff>821324</xdr:rowOff>
    </xdr:to>
    <xdr:sp macro="" textlink="">
      <xdr:nvSpPr>
        <xdr:cNvPr id="111" name="5-конечная звезда 110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69732" y="162562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1157654</xdr:colOff>
      <xdr:row>4</xdr:row>
      <xdr:rowOff>776654</xdr:rowOff>
    </xdr:from>
    <xdr:to>
      <xdr:col>3</xdr:col>
      <xdr:colOff>1157654</xdr:colOff>
      <xdr:row>4</xdr:row>
      <xdr:rowOff>776654</xdr:rowOff>
    </xdr:to>
    <xdr:cxnSp macro="">
      <xdr:nvCxnSpPr>
        <xdr:cNvPr id="112" name="Прямая соединительная линия 111"/>
        <xdr:cNvCxnSpPr/>
      </xdr:nvCxnSpPr>
      <xdr:spPr>
        <a:xfrm>
          <a:off x="2700704" y="1652954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1168860</xdr:colOff>
      <xdr:row>4</xdr:row>
      <xdr:rowOff>835270</xdr:rowOff>
    </xdr:from>
    <xdr:to>
      <xdr:col>3</xdr:col>
      <xdr:colOff>1530810</xdr:colOff>
      <xdr:row>4</xdr:row>
      <xdr:rowOff>1066251</xdr:rowOff>
    </xdr:to>
    <xdr:grpSp>
      <xdr:nvGrpSpPr>
        <xdr:cNvPr id="113" name="Группа 112"/>
        <xdr:cNvGrpSpPr/>
      </xdr:nvGrpSpPr>
      <xdr:grpSpPr>
        <a:xfrm>
          <a:off x="2715272" y="1731741"/>
          <a:ext cx="361950" cy="230981"/>
          <a:chOff x="2631156" y="1513048"/>
          <a:chExt cx="361950" cy="230981"/>
        </a:xfrm>
      </xdr:grpSpPr>
      <xdr:sp macro="" textlink="">
        <xdr:nvSpPr>
          <xdr:cNvPr id="114" name="Полилиния 113"/>
          <xdr:cNvSpPr/>
        </xdr:nvSpPr>
        <xdr:spPr>
          <a:xfrm>
            <a:off x="2631156" y="1513048"/>
            <a:ext cx="361950" cy="230981"/>
          </a:xfrm>
          <a:custGeom>
            <a:avLst/>
            <a:gdLst>
              <a:gd name="connsiteX0" fmla="*/ 0 w 361950"/>
              <a:gd name="connsiteY0" fmla="*/ 0 h 230981"/>
              <a:gd name="connsiteX1" fmla="*/ 361950 w 361950"/>
              <a:gd name="connsiteY1" fmla="*/ 0 h 230981"/>
              <a:gd name="connsiteX2" fmla="*/ 361950 w 361950"/>
              <a:gd name="connsiteY2" fmla="*/ 230981 h 230981"/>
              <a:gd name="connsiteX3" fmla="*/ 2382 w 361950"/>
              <a:gd name="connsiteY3" fmla="*/ 230981 h 230981"/>
              <a:gd name="connsiteX4" fmla="*/ 0 w 361950"/>
              <a:gd name="connsiteY4" fmla="*/ 0 h 23098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61950" h="230981">
                <a:moveTo>
                  <a:pt x="0" y="0"/>
                </a:moveTo>
                <a:lnTo>
                  <a:pt x="361950" y="0"/>
                </a:lnTo>
                <a:lnTo>
                  <a:pt x="361950" y="230981"/>
                </a:lnTo>
                <a:lnTo>
                  <a:pt x="2382" y="230981"/>
                </a:lnTo>
                <a:lnTo>
                  <a:pt x="0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</a:schemeClr>
          </a:solidFill>
          <a:ln w="19050">
            <a:solidFill>
              <a:srgbClr val="FF0000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15" name="Прямая соединительная линия 114"/>
          <xdr:cNvCxnSpPr>
            <a:stCxn id="114" idx="0"/>
            <a:endCxn id="114" idx="2"/>
          </xdr:cNvCxnSpPr>
        </xdr:nvCxnSpPr>
        <xdr:spPr>
          <a:xfrm>
            <a:off x="2631156" y="1513048"/>
            <a:ext cx="361950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6" name="Прямая соединительная линия 115"/>
          <xdr:cNvCxnSpPr>
            <a:stCxn id="114" idx="1"/>
            <a:endCxn id="114" idx="3"/>
          </xdr:cNvCxnSpPr>
        </xdr:nvCxnSpPr>
        <xdr:spPr>
          <a:xfrm flipH="1">
            <a:off x="2633538" y="1513048"/>
            <a:ext cx="359568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776654</xdr:colOff>
      <xdr:row>4</xdr:row>
      <xdr:rowOff>674076</xdr:rowOff>
    </xdr:from>
    <xdr:to>
      <xdr:col>3</xdr:col>
      <xdr:colOff>1077058</xdr:colOff>
      <xdr:row>4</xdr:row>
      <xdr:rowOff>674076</xdr:rowOff>
    </xdr:to>
    <xdr:cxnSp macro="">
      <xdr:nvCxnSpPr>
        <xdr:cNvPr id="117" name="Прямая соединительная линия 116"/>
        <xdr:cNvCxnSpPr/>
      </xdr:nvCxnSpPr>
      <xdr:spPr>
        <a:xfrm>
          <a:off x="2319704" y="1550376"/>
          <a:ext cx="300404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1072226</xdr:colOff>
      <xdr:row>4</xdr:row>
      <xdr:rowOff>485391</xdr:rowOff>
    </xdr:from>
    <xdr:to>
      <xdr:col>3</xdr:col>
      <xdr:colOff>1123605</xdr:colOff>
      <xdr:row>4</xdr:row>
      <xdr:rowOff>865870</xdr:rowOff>
    </xdr:to>
    <xdr:grpSp>
      <xdr:nvGrpSpPr>
        <xdr:cNvPr id="118" name="Группа 11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pSpPr/>
      </xdr:nvGrpSpPr>
      <xdr:grpSpPr>
        <a:xfrm rot="-5400000">
          <a:off x="2454088" y="1546412"/>
          <a:ext cx="380479" cy="51379"/>
          <a:chOff x="744834" y="5046016"/>
          <a:chExt cx="380479" cy="51379"/>
        </a:xfrm>
      </xdr:grpSpPr>
      <xdr:cxnSp macro="">
        <xdr:nvCxnSpPr>
          <xdr:cNvPr id="119" name="Прямая со стрелкой 118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20" name="Овал 119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21" name="Овал 120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22" name="Прямая со стрелкой 121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503464</xdr:colOff>
      <xdr:row>5</xdr:row>
      <xdr:rowOff>587001</xdr:rowOff>
    </xdr:from>
    <xdr:to>
      <xdr:col>5</xdr:col>
      <xdr:colOff>608239</xdr:colOff>
      <xdr:row>5</xdr:row>
      <xdr:rowOff>977526</xdr:rowOff>
    </xdr:to>
    <xdr:sp macro="" textlink="">
      <xdr:nvSpPr>
        <xdr:cNvPr id="123" name="Прямоугольник 122"/>
        <xdr:cNvSpPr/>
      </xdr:nvSpPr>
      <xdr:spPr>
        <a:xfrm>
          <a:off x="3627664" y="2987301"/>
          <a:ext cx="1485900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510112</xdr:colOff>
      <xdr:row>5</xdr:row>
      <xdr:rowOff>585108</xdr:rowOff>
    </xdr:from>
    <xdr:to>
      <xdr:col>5</xdr:col>
      <xdr:colOff>598479</xdr:colOff>
      <xdr:row>5</xdr:row>
      <xdr:rowOff>976993</xdr:rowOff>
    </xdr:to>
    <xdr:cxnSp macro="">
      <xdr:nvCxnSpPr>
        <xdr:cNvPr id="124" name="Прямая соединительная линия 123"/>
        <xdr:cNvCxnSpPr/>
      </xdr:nvCxnSpPr>
      <xdr:spPr>
        <a:xfrm flipV="1">
          <a:off x="3634312" y="2985408"/>
          <a:ext cx="1469492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894412</xdr:colOff>
      <xdr:row>9</xdr:row>
      <xdr:rowOff>882264</xdr:rowOff>
    </xdr:from>
    <xdr:to>
      <xdr:col>3</xdr:col>
      <xdr:colOff>966412</xdr:colOff>
      <xdr:row>9</xdr:row>
      <xdr:rowOff>954264</xdr:rowOff>
    </xdr:to>
    <xdr:sp macro="" textlink="">
      <xdr:nvSpPr>
        <xdr:cNvPr id="125" name="5-конечная звезда 12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37462" y="937856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11</xdr:row>
      <xdr:rowOff>24545</xdr:rowOff>
    </xdr:from>
    <xdr:to>
      <xdr:col>3</xdr:col>
      <xdr:colOff>802515</xdr:colOff>
      <xdr:row>11</xdr:row>
      <xdr:rowOff>273844</xdr:rowOff>
    </xdr:to>
    <xdr:cxnSp macro="">
      <xdr:nvCxnSpPr>
        <xdr:cNvPr id="126" name="Прямая со стрелкой 12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11568845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11</xdr:row>
      <xdr:rowOff>399217</xdr:rowOff>
    </xdr:from>
    <xdr:to>
      <xdr:col>3</xdr:col>
      <xdr:colOff>839475</xdr:colOff>
      <xdr:row>11</xdr:row>
      <xdr:rowOff>471217</xdr:rowOff>
    </xdr:to>
    <xdr:sp macro="" textlink="">
      <xdr:nvSpPr>
        <xdr:cNvPr id="127" name="Овал 12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119435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11</xdr:row>
      <xdr:rowOff>273304</xdr:rowOff>
    </xdr:from>
    <xdr:to>
      <xdr:col>3</xdr:col>
      <xdr:colOff>802515</xdr:colOff>
      <xdr:row>11</xdr:row>
      <xdr:rowOff>440531</xdr:rowOff>
    </xdr:to>
    <xdr:cxnSp macro="">
      <xdr:nvCxnSpPr>
        <xdr:cNvPr id="128" name="Прямая со стрелкой 12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11817604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623510</xdr:colOff>
      <xdr:row>12</xdr:row>
      <xdr:rowOff>58615</xdr:rowOff>
    </xdr:from>
    <xdr:to>
      <xdr:col>3</xdr:col>
      <xdr:colOff>793168</xdr:colOff>
      <xdr:row>12</xdr:row>
      <xdr:rowOff>449098</xdr:rowOff>
    </xdr:to>
    <xdr:sp macro="" textlink="">
      <xdr:nvSpPr>
        <xdr:cNvPr id="129" name="Полилиния 128"/>
        <xdr:cNvSpPr/>
      </xdr:nvSpPr>
      <xdr:spPr>
        <a:xfrm flipH="1">
          <a:off x="2166560" y="12107740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759421</xdr:colOff>
      <xdr:row>12</xdr:row>
      <xdr:rowOff>397630</xdr:rowOff>
    </xdr:from>
    <xdr:to>
      <xdr:col>3</xdr:col>
      <xdr:colOff>831421</xdr:colOff>
      <xdr:row>12</xdr:row>
      <xdr:rowOff>469630</xdr:rowOff>
    </xdr:to>
    <xdr:sp macro="" textlink="">
      <xdr:nvSpPr>
        <xdr:cNvPr id="130" name="Овал 12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124467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623510</xdr:colOff>
      <xdr:row>13</xdr:row>
      <xdr:rowOff>58615</xdr:rowOff>
    </xdr:from>
    <xdr:to>
      <xdr:col>3</xdr:col>
      <xdr:colOff>793168</xdr:colOff>
      <xdr:row>13</xdr:row>
      <xdr:rowOff>449098</xdr:rowOff>
    </xdr:to>
    <xdr:sp macro="" textlink="">
      <xdr:nvSpPr>
        <xdr:cNvPr id="131" name="Полилиния 130"/>
        <xdr:cNvSpPr/>
      </xdr:nvSpPr>
      <xdr:spPr>
        <a:xfrm flipH="1">
          <a:off x="2166560" y="12612565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759421</xdr:colOff>
      <xdr:row>13</xdr:row>
      <xdr:rowOff>397630</xdr:rowOff>
    </xdr:from>
    <xdr:to>
      <xdr:col>3</xdr:col>
      <xdr:colOff>831421</xdr:colOff>
      <xdr:row>13</xdr:row>
      <xdr:rowOff>469630</xdr:rowOff>
    </xdr:to>
    <xdr:sp macro="" textlink="">
      <xdr:nvSpPr>
        <xdr:cNvPr id="132" name="Овал 13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129515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14</xdr:row>
      <xdr:rowOff>24545</xdr:rowOff>
    </xdr:from>
    <xdr:to>
      <xdr:col>3</xdr:col>
      <xdr:colOff>802515</xdr:colOff>
      <xdr:row>14</xdr:row>
      <xdr:rowOff>273844</xdr:rowOff>
    </xdr:to>
    <xdr:cxnSp macro="">
      <xdr:nvCxnSpPr>
        <xdr:cNvPr id="133" name="Прямая со стрелкой 13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13083320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14</xdr:row>
      <xdr:rowOff>399217</xdr:rowOff>
    </xdr:from>
    <xdr:to>
      <xdr:col>3</xdr:col>
      <xdr:colOff>839475</xdr:colOff>
      <xdr:row>14</xdr:row>
      <xdr:rowOff>471217</xdr:rowOff>
    </xdr:to>
    <xdr:sp macro="" textlink="">
      <xdr:nvSpPr>
        <xdr:cNvPr id="134" name="Овал 13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134579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14</xdr:row>
      <xdr:rowOff>273304</xdr:rowOff>
    </xdr:from>
    <xdr:to>
      <xdr:col>3</xdr:col>
      <xdr:colOff>802515</xdr:colOff>
      <xdr:row>14</xdr:row>
      <xdr:rowOff>440531</xdr:rowOff>
    </xdr:to>
    <xdr:cxnSp macro="">
      <xdr:nvCxnSpPr>
        <xdr:cNvPr id="135" name="Прямая со стрелкой 13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13332079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15</xdr:row>
      <xdr:rowOff>399217</xdr:rowOff>
    </xdr:from>
    <xdr:to>
      <xdr:col>3</xdr:col>
      <xdr:colOff>839475</xdr:colOff>
      <xdr:row>15</xdr:row>
      <xdr:rowOff>471217</xdr:rowOff>
    </xdr:to>
    <xdr:sp macro="" textlink="">
      <xdr:nvSpPr>
        <xdr:cNvPr id="136" name="Овал 13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1396281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767475</xdr:colOff>
      <xdr:row>16</xdr:row>
      <xdr:rowOff>399217</xdr:rowOff>
    </xdr:from>
    <xdr:to>
      <xdr:col>3</xdr:col>
      <xdr:colOff>839475</xdr:colOff>
      <xdr:row>16</xdr:row>
      <xdr:rowOff>471217</xdr:rowOff>
    </xdr:to>
    <xdr:sp macro="" textlink="">
      <xdr:nvSpPr>
        <xdr:cNvPr id="137" name="Овал 13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144676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634716</xdr:colOff>
      <xdr:row>15</xdr:row>
      <xdr:rowOff>47410</xdr:rowOff>
    </xdr:from>
    <xdr:to>
      <xdr:col>3</xdr:col>
      <xdr:colOff>804374</xdr:colOff>
      <xdr:row>15</xdr:row>
      <xdr:rowOff>437893</xdr:rowOff>
    </xdr:to>
    <xdr:sp macro="" textlink="">
      <xdr:nvSpPr>
        <xdr:cNvPr id="138" name="Полилиния 137"/>
        <xdr:cNvSpPr/>
      </xdr:nvSpPr>
      <xdr:spPr>
        <a:xfrm flipH="1">
          <a:off x="2177766" y="13611010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767475</xdr:colOff>
      <xdr:row>18</xdr:row>
      <xdr:rowOff>399217</xdr:rowOff>
    </xdr:from>
    <xdr:to>
      <xdr:col>3</xdr:col>
      <xdr:colOff>839475</xdr:colOff>
      <xdr:row>18</xdr:row>
      <xdr:rowOff>471217</xdr:rowOff>
    </xdr:to>
    <xdr:sp macro="" textlink="">
      <xdr:nvSpPr>
        <xdr:cNvPr id="139" name="Овал 13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154772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767475</xdr:colOff>
      <xdr:row>17</xdr:row>
      <xdr:rowOff>399217</xdr:rowOff>
    </xdr:from>
    <xdr:to>
      <xdr:col>3</xdr:col>
      <xdr:colOff>839475</xdr:colOff>
      <xdr:row>17</xdr:row>
      <xdr:rowOff>471217</xdr:rowOff>
    </xdr:to>
    <xdr:sp macro="" textlink="">
      <xdr:nvSpPr>
        <xdr:cNvPr id="140" name="Овал 13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149724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802806</xdr:colOff>
      <xdr:row>16</xdr:row>
      <xdr:rowOff>47410</xdr:rowOff>
    </xdr:from>
    <xdr:to>
      <xdr:col>3</xdr:col>
      <xdr:colOff>972464</xdr:colOff>
      <xdr:row>16</xdr:row>
      <xdr:rowOff>437893</xdr:rowOff>
    </xdr:to>
    <xdr:sp macro="" textlink="">
      <xdr:nvSpPr>
        <xdr:cNvPr id="141" name="Полилиния 140"/>
        <xdr:cNvSpPr/>
      </xdr:nvSpPr>
      <xdr:spPr>
        <a:xfrm>
          <a:off x="2345856" y="14115835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634716</xdr:colOff>
      <xdr:row>17</xdr:row>
      <xdr:rowOff>69821</xdr:rowOff>
    </xdr:from>
    <xdr:to>
      <xdr:col>3</xdr:col>
      <xdr:colOff>804374</xdr:colOff>
      <xdr:row>17</xdr:row>
      <xdr:rowOff>460304</xdr:rowOff>
    </xdr:to>
    <xdr:sp macro="" textlink="">
      <xdr:nvSpPr>
        <xdr:cNvPr id="142" name="Полилиния 141"/>
        <xdr:cNvSpPr/>
      </xdr:nvSpPr>
      <xdr:spPr>
        <a:xfrm flipH="1">
          <a:off x="2177766" y="14643071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634716</xdr:colOff>
      <xdr:row>18</xdr:row>
      <xdr:rowOff>36203</xdr:rowOff>
    </xdr:from>
    <xdr:to>
      <xdr:col>3</xdr:col>
      <xdr:colOff>804374</xdr:colOff>
      <xdr:row>18</xdr:row>
      <xdr:rowOff>426686</xdr:rowOff>
    </xdr:to>
    <xdr:sp macro="" textlink="">
      <xdr:nvSpPr>
        <xdr:cNvPr id="143" name="Полилиния 142"/>
        <xdr:cNvSpPr/>
      </xdr:nvSpPr>
      <xdr:spPr>
        <a:xfrm flipH="1">
          <a:off x="2177766" y="15114278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571500</xdr:colOff>
      <xdr:row>22</xdr:row>
      <xdr:rowOff>735217</xdr:rowOff>
    </xdr:from>
    <xdr:to>
      <xdr:col>3</xdr:col>
      <xdr:colOff>643500</xdr:colOff>
      <xdr:row>22</xdr:row>
      <xdr:rowOff>807217</xdr:rowOff>
    </xdr:to>
    <xdr:sp macro="" textlink="">
      <xdr:nvSpPr>
        <xdr:cNvPr id="145" name="5-конечная звезда 144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114550" y="2089011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805961</xdr:colOff>
      <xdr:row>41</xdr:row>
      <xdr:rowOff>359018</xdr:rowOff>
    </xdr:from>
    <xdr:to>
      <xdr:col>3</xdr:col>
      <xdr:colOff>1065874</xdr:colOff>
      <xdr:row>41</xdr:row>
      <xdr:rowOff>683037</xdr:rowOff>
    </xdr:to>
    <xdr:sp macro="" textlink="">
      <xdr:nvSpPr>
        <xdr:cNvPr id="146" name="Полилиния 145"/>
        <xdr:cNvSpPr/>
      </xdr:nvSpPr>
      <xdr:spPr>
        <a:xfrm flipV="1">
          <a:off x="2349011" y="50993918"/>
          <a:ext cx="259913" cy="324019"/>
        </a:xfrm>
        <a:custGeom>
          <a:avLst/>
          <a:gdLst>
            <a:gd name="connsiteX0" fmla="*/ 0 w 541421"/>
            <a:gd name="connsiteY0" fmla="*/ 447633 h 447633"/>
            <a:gd name="connsiteX1" fmla="*/ 55144 w 541421"/>
            <a:gd name="connsiteY1" fmla="*/ 176923 h 447633"/>
            <a:gd name="connsiteX2" fmla="*/ 150394 w 541421"/>
            <a:gd name="connsiteY2" fmla="*/ 36554 h 447633"/>
            <a:gd name="connsiteX3" fmla="*/ 345907 w 541421"/>
            <a:gd name="connsiteY3" fmla="*/ 1462 h 447633"/>
            <a:gd name="connsiteX4" fmla="*/ 541421 w 541421"/>
            <a:gd name="connsiteY4" fmla="*/ 71647 h 447633"/>
            <a:gd name="connsiteX0" fmla="*/ 0 w 345907"/>
            <a:gd name="connsiteY0" fmla="*/ 447633 h 447633"/>
            <a:gd name="connsiteX1" fmla="*/ 55144 w 345907"/>
            <a:gd name="connsiteY1" fmla="*/ 176923 h 447633"/>
            <a:gd name="connsiteX2" fmla="*/ 150394 w 345907"/>
            <a:gd name="connsiteY2" fmla="*/ 36554 h 447633"/>
            <a:gd name="connsiteX3" fmla="*/ 345907 w 345907"/>
            <a:gd name="connsiteY3" fmla="*/ 1462 h 447633"/>
            <a:gd name="connsiteX0" fmla="*/ 0 w 371134"/>
            <a:gd name="connsiteY0" fmla="*/ 539389 h 539389"/>
            <a:gd name="connsiteX1" fmla="*/ 55144 w 371134"/>
            <a:gd name="connsiteY1" fmla="*/ 268679 h 539389"/>
            <a:gd name="connsiteX2" fmla="*/ 150394 w 371134"/>
            <a:gd name="connsiteY2" fmla="*/ 128310 h 539389"/>
            <a:gd name="connsiteX3" fmla="*/ 371134 w 371134"/>
            <a:gd name="connsiteY3" fmla="*/ 235 h 539389"/>
            <a:gd name="connsiteX0" fmla="*/ 0 w 358788"/>
            <a:gd name="connsiteY0" fmla="*/ 494054 h 494054"/>
            <a:gd name="connsiteX1" fmla="*/ 55144 w 358788"/>
            <a:gd name="connsiteY1" fmla="*/ 223344 h 494054"/>
            <a:gd name="connsiteX2" fmla="*/ 150394 w 358788"/>
            <a:gd name="connsiteY2" fmla="*/ 82975 h 494054"/>
            <a:gd name="connsiteX3" fmla="*/ 358788 w 358788"/>
            <a:gd name="connsiteY3" fmla="*/ 404 h 494054"/>
            <a:gd name="connsiteX0" fmla="*/ 0 w 358788"/>
            <a:gd name="connsiteY0" fmla="*/ 493650 h 493650"/>
            <a:gd name="connsiteX1" fmla="*/ 55144 w 358788"/>
            <a:gd name="connsiteY1" fmla="*/ 222940 h 493650"/>
            <a:gd name="connsiteX2" fmla="*/ 150394 w 358788"/>
            <a:gd name="connsiteY2" fmla="*/ 82571 h 493650"/>
            <a:gd name="connsiteX3" fmla="*/ 358788 w 358788"/>
            <a:gd name="connsiteY3" fmla="*/ 0 h 493650"/>
            <a:gd name="connsiteX0" fmla="*/ 0 w 395824"/>
            <a:gd name="connsiteY0" fmla="*/ 519652 h 519652"/>
            <a:gd name="connsiteX1" fmla="*/ 55144 w 395824"/>
            <a:gd name="connsiteY1" fmla="*/ 248942 h 519652"/>
            <a:gd name="connsiteX2" fmla="*/ 150394 w 395824"/>
            <a:gd name="connsiteY2" fmla="*/ 108573 h 519652"/>
            <a:gd name="connsiteX3" fmla="*/ 395824 w 395824"/>
            <a:gd name="connsiteY3" fmla="*/ 0 h 5196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5824" h="519652">
              <a:moveTo>
                <a:pt x="0" y="519652"/>
              </a:moveTo>
              <a:cubicBezTo>
                <a:pt x="15039" y="418553"/>
                <a:pt x="30078" y="317455"/>
                <a:pt x="55144" y="248942"/>
              </a:cubicBezTo>
              <a:cubicBezTo>
                <a:pt x="80210" y="180429"/>
                <a:pt x="101934" y="137816"/>
                <a:pt x="150394" y="108573"/>
              </a:cubicBezTo>
              <a:cubicBezTo>
                <a:pt x="198854" y="79330"/>
                <a:pt x="287445" y="39655"/>
                <a:pt x="39582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176893</xdr:colOff>
      <xdr:row>0</xdr:row>
      <xdr:rowOff>7203</xdr:rowOff>
    </xdr:from>
    <xdr:to>
      <xdr:col>2</xdr:col>
      <xdr:colOff>430092</xdr:colOff>
      <xdr:row>3</xdr:row>
      <xdr:rowOff>15533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7203"/>
          <a:ext cx="1215224" cy="665555"/>
        </a:xfrm>
        <a:prstGeom prst="rect">
          <a:avLst/>
        </a:prstGeom>
      </xdr:spPr>
    </xdr:pic>
    <xdr:clientData/>
  </xdr:twoCellAnchor>
  <xdr:twoCellAnchor editAs="oneCell">
    <xdr:from>
      <xdr:col>4</xdr:col>
      <xdr:colOff>508271</xdr:colOff>
      <xdr:row>4</xdr:row>
      <xdr:rowOff>94532</xdr:rowOff>
    </xdr:from>
    <xdr:to>
      <xdr:col>4</xdr:col>
      <xdr:colOff>1124727</xdr:colOff>
      <xdr:row>4</xdr:row>
      <xdr:rowOff>704185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471" y="970832"/>
          <a:ext cx="616456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133751</xdr:colOff>
      <xdr:row>4</xdr:row>
      <xdr:rowOff>81962</xdr:rowOff>
    </xdr:from>
    <xdr:to>
      <xdr:col>5</xdr:col>
      <xdr:colOff>748526</xdr:colOff>
      <xdr:row>4</xdr:row>
      <xdr:rowOff>691615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076" y="958262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832265</xdr:colOff>
      <xdr:row>4</xdr:row>
      <xdr:rowOff>78441</xdr:rowOff>
    </xdr:from>
    <xdr:to>
      <xdr:col>3</xdr:col>
      <xdr:colOff>832265</xdr:colOff>
      <xdr:row>4</xdr:row>
      <xdr:rowOff>1390397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75315" y="954741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791272</xdr:colOff>
      <xdr:row>4</xdr:row>
      <xdr:rowOff>1372698</xdr:rowOff>
    </xdr:from>
    <xdr:to>
      <xdr:col>3</xdr:col>
      <xdr:colOff>863272</xdr:colOff>
      <xdr:row>4</xdr:row>
      <xdr:rowOff>1444698</xdr:rowOff>
    </xdr:to>
    <xdr:sp macro="" textlink="">
      <xdr:nvSpPr>
        <xdr:cNvPr id="6" name="Овал 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34322" y="224899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1005944</xdr:colOff>
      <xdr:row>4</xdr:row>
      <xdr:rowOff>716685</xdr:rowOff>
    </xdr:from>
    <xdr:to>
      <xdr:col>3</xdr:col>
      <xdr:colOff>1077944</xdr:colOff>
      <xdr:row>4</xdr:row>
      <xdr:rowOff>788685</xdr:rowOff>
    </xdr:to>
    <xdr:sp macro="" textlink="">
      <xdr:nvSpPr>
        <xdr:cNvPr id="7" name="5-конечная звезда 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48994" y="159298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571500</xdr:colOff>
      <xdr:row>4</xdr:row>
      <xdr:rowOff>724012</xdr:rowOff>
    </xdr:from>
    <xdr:to>
      <xdr:col>3</xdr:col>
      <xdr:colOff>643500</xdr:colOff>
      <xdr:row>4</xdr:row>
      <xdr:rowOff>796012</xdr:rowOff>
    </xdr:to>
    <xdr:sp macro="" textlink="">
      <xdr:nvSpPr>
        <xdr:cNvPr id="8" name="5-конечная звезда 7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114550" y="160031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802084</xdr:colOff>
      <xdr:row>5</xdr:row>
      <xdr:rowOff>78441</xdr:rowOff>
    </xdr:from>
    <xdr:to>
      <xdr:col>3</xdr:col>
      <xdr:colOff>802084</xdr:colOff>
      <xdr:row>5</xdr:row>
      <xdr:rowOff>1370368</xdr:rowOff>
    </xdr:to>
    <xdr:cxnSp macro="">
      <xdr:nvCxnSpPr>
        <xdr:cNvPr id="9" name="Прямая со стрелкой 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134" y="2478741"/>
          <a:ext cx="0" cy="129192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761091</xdr:colOff>
      <xdr:row>5</xdr:row>
      <xdr:rowOff>1352672</xdr:rowOff>
    </xdr:from>
    <xdr:to>
      <xdr:col>3</xdr:col>
      <xdr:colOff>833091</xdr:colOff>
      <xdr:row>5</xdr:row>
      <xdr:rowOff>1424672</xdr:rowOff>
    </xdr:to>
    <xdr:sp macro="" textlink="">
      <xdr:nvSpPr>
        <xdr:cNvPr id="10" name="Овал 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4141" y="375297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811190</xdr:colOff>
      <xdr:row>5</xdr:row>
      <xdr:rowOff>561564</xdr:rowOff>
    </xdr:from>
    <xdr:to>
      <xdr:col>3</xdr:col>
      <xdr:colOff>1492195</xdr:colOff>
      <xdr:row>5</xdr:row>
      <xdr:rowOff>762000</xdr:rowOff>
    </xdr:to>
    <xdr:cxnSp macro="">
      <xdr:nvCxnSpPr>
        <xdr:cNvPr id="11" name="Прямая со стрелкой 1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54240" y="2961864"/>
          <a:ext cx="681005" cy="200436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78444</xdr:colOff>
      <xdr:row>5</xdr:row>
      <xdr:rowOff>769009</xdr:rowOff>
    </xdr:from>
    <xdr:to>
      <xdr:col>3</xdr:col>
      <xdr:colOff>805543</xdr:colOff>
      <xdr:row>5</xdr:row>
      <xdr:rowOff>769009</xdr:rowOff>
    </xdr:to>
    <xdr:cxnSp macro="">
      <xdr:nvCxnSpPr>
        <xdr:cNvPr id="12" name="Прямая со стрелкой 1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21494" y="3169309"/>
          <a:ext cx="727099" cy="0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98241</xdr:colOff>
      <xdr:row>8</xdr:row>
      <xdr:rowOff>676792</xdr:rowOff>
    </xdr:from>
    <xdr:to>
      <xdr:col>3</xdr:col>
      <xdr:colOff>1454970</xdr:colOff>
      <xdr:row>8</xdr:row>
      <xdr:rowOff>742406</xdr:rowOff>
    </xdr:to>
    <xdr:cxnSp macro="">
      <xdr:nvCxnSpPr>
        <xdr:cNvPr id="13" name="Прямая со стрелкой 1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41291" y="7649092"/>
          <a:ext cx="1356729" cy="65614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649042</xdr:colOff>
      <xdr:row>8</xdr:row>
      <xdr:rowOff>1324460</xdr:rowOff>
    </xdr:from>
    <xdr:to>
      <xdr:col>3</xdr:col>
      <xdr:colOff>721042</xdr:colOff>
      <xdr:row>8</xdr:row>
      <xdr:rowOff>1396460</xdr:rowOff>
    </xdr:to>
    <xdr:sp macro="" textlink="">
      <xdr:nvSpPr>
        <xdr:cNvPr id="14" name="Овал 1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192092" y="829676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820000</xdr:colOff>
      <xdr:row>8</xdr:row>
      <xdr:rowOff>109384</xdr:rowOff>
    </xdr:from>
    <xdr:to>
      <xdr:col>3</xdr:col>
      <xdr:colOff>927422</xdr:colOff>
      <xdr:row>8</xdr:row>
      <xdr:rowOff>689948</xdr:rowOff>
    </xdr:to>
    <xdr:cxnSp macro="">
      <xdr:nvCxnSpPr>
        <xdr:cNvPr id="15" name="Прямая со стрелкой 1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 flipH="1" flipV="1">
          <a:off x="2363050" y="7081684"/>
          <a:ext cx="107422" cy="580564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688763</xdr:colOff>
      <xdr:row>8</xdr:row>
      <xdr:rowOff>1002196</xdr:rowOff>
    </xdr:from>
    <xdr:to>
      <xdr:col>3</xdr:col>
      <xdr:colOff>688764</xdr:colOff>
      <xdr:row>8</xdr:row>
      <xdr:rowOff>1365245</xdr:rowOff>
    </xdr:to>
    <xdr:cxnSp macro="">
      <xdr:nvCxnSpPr>
        <xdr:cNvPr id="16" name="Прямая со стрелкой 1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31813" y="7974496"/>
          <a:ext cx="1" cy="363049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111672</xdr:colOff>
      <xdr:row>9</xdr:row>
      <xdr:rowOff>551794</xdr:rowOff>
    </xdr:from>
    <xdr:to>
      <xdr:col>3</xdr:col>
      <xdr:colOff>1471448</xdr:colOff>
      <xdr:row>9</xdr:row>
      <xdr:rowOff>893380</xdr:rowOff>
    </xdr:to>
    <xdr:cxnSp macro="">
      <xdr:nvCxnSpPr>
        <xdr:cNvPr id="17" name="Прямая со стрелкой 1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54722" y="9048094"/>
          <a:ext cx="1359776" cy="341586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741008</xdr:colOff>
      <xdr:row>9</xdr:row>
      <xdr:rowOff>1343510</xdr:rowOff>
    </xdr:from>
    <xdr:to>
      <xdr:col>3</xdr:col>
      <xdr:colOff>813008</xdr:colOff>
      <xdr:row>9</xdr:row>
      <xdr:rowOff>1415510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284058" y="983981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617483</xdr:colOff>
      <xdr:row>9</xdr:row>
      <xdr:rowOff>710816</xdr:rowOff>
    </xdr:from>
    <xdr:to>
      <xdr:col>3</xdr:col>
      <xdr:colOff>709276</xdr:colOff>
      <xdr:row>9</xdr:row>
      <xdr:rowOff>1037897</xdr:rowOff>
    </xdr:to>
    <xdr:cxnSp macro="">
      <xdr:nvCxnSpPr>
        <xdr:cNvPr id="19" name="Прямая со стрелкой 1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160533" y="9207116"/>
          <a:ext cx="91793" cy="327081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768957</xdr:colOff>
      <xdr:row>9</xdr:row>
      <xdr:rowOff>726671</xdr:rowOff>
    </xdr:from>
    <xdr:to>
      <xdr:col>3</xdr:col>
      <xdr:colOff>796622</xdr:colOff>
      <xdr:row>9</xdr:row>
      <xdr:rowOff>1384011</xdr:rowOff>
    </xdr:to>
    <xdr:cxnSp macro="">
      <xdr:nvCxnSpPr>
        <xdr:cNvPr id="20" name="Прямая со стрелкой 1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>
          <a:off x="2312007" y="9222971"/>
          <a:ext cx="27665" cy="657340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756987</xdr:colOff>
      <xdr:row>10</xdr:row>
      <xdr:rowOff>771525</xdr:rowOff>
    </xdr:from>
    <xdr:to>
      <xdr:col>3</xdr:col>
      <xdr:colOff>756987</xdr:colOff>
      <xdr:row>10</xdr:row>
      <xdr:rowOff>1451681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2300037" y="10791825"/>
          <a:ext cx="0" cy="6801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145676</xdr:colOff>
      <xdr:row>10</xdr:row>
      <xdr:rowOff>803698</xdr:rowOff>
    </xdr:from>
    <xdr:to>
      <xdr:col>3</xdr:col>
      <xdr:colOff>753190</xdr:colOff>
      <xdr:row>10</xdr:row>
      <xdr:rowOff>1426164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88726" y="10823998"/>
          <a:ext cx="607514" cy="622466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787424</xdr:colOff>
      <xdr:row>10</xdr:row>
      <xdr:rowOff>809840</xdr:rowOff>
    </xdr:from>
    <xdr:to>
      <xdr:col>3</xdr:col>
      <xdr:colOff>1120588</xdr:colOff>
      <xdr:row>10</xdr:row>
      <xdr:rowOff>887397</xdr:rowOff>
    </xdr:to>
    <xdr:cxnSp macro="">
      <xdr:nvCxnSpPr>
        <xdr:cNvPr id="23" name="Прямая со стрелкой 2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30474" y="10830140"/>
          <a:ext cx="333164" cy="77557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721701</xdr:colOff>
      <xdr:row>10</xdr:row>
      <xdr:rowOff>1390650</xdr:rowOff>
    </xdr:from>
    <xdr:to>
      <xdr:col>3</xdr:col>
      <xdr:colOff>793701</xdr:colOff>
      <xdr:row>10</xdr:row>
      <xdr:rowOff>1462650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0966125">
          <a:off x="2264751" y="1141095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681240</xdr:colOff>
      <xdr:row>10</xdr:row>
      <xdr:rowOff>144518</xdr:rowOff>
    </xdr:from>
    <xdr:to>
      <xdr:col>3</xdr:col>
      <xdr:colOff>766847</xdr:colOff>
      <xdr:row>10</xdr:row>
      <xdr:rowOff>775138</xdr:rowOff>
    </xdr:to>
    <xdr:sp macro="" textlink="">
      <xdr:nvSpPr>
        <xdr:cNvPr id="25" name="Полилиния 24"/>
        <xdr:cNvSpPr/>
      </xdr:nvSpPr>
      <xdr:spPr>
        <a:xfrm>
          <a:off x="2224290" y="10164818"/>
          <a:ext cx="85607" cy="630620"/>
        </a:xfrm>
        <a:custGeom>
          <a:avLst/>
          <a:gdLst>
            <a:gd name="connsiteX0" fmla="*/ 85397 w 85607"/>
            <a:gd name="connsiteY0" fmla="*/ 630620 h 630620"/>
            <a:gd name="connsiteX1" fmla="*/ 72259 w 85607"/>
            <a:gd name="connsiteY1" fmla="*/ 348155 h 630620"/>
            <a:gd name="connsiteX2" fmla="*/ 0 w 85607"/>
            <a:gd name="connsiteY2" fmla="*/ 0 h 6306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5607" h="630620">
              <a:moveTo>
                <a:pt x="85397" y="630620"/>
              </a:moveTo>
              <a:cubicBezTo>
                <a:pt x="85944" y="541939"/>
                <a:pt x="86492" y="453258"/>
                <a:pt x="72259" y="348155"/>
              </a:cubicBezTo>
              <a:cubicBezTo>
                <a:pt x="58026" y="243052"/>
                <a:pt x="0" y="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766637</xdr:colOff>
      <xdr:row>10</xdr:row>
      <xdr:rowOff>151087</xdr:rowOff>
    </xdr:from>
    <xdr:to>
      <xdr:col>3</xdr:col>
      <xdr:colOff>891447</xdr:colOff>
      <xdr:row>10</xdr:row>
      <xdr:rowOff>775138</xdr:rowOff>
    </xdr:to>
    <xdr:sp macro="" textlink="">
      <xdr:nvSpPr>
        <xdr:cNvPr id="26" name="Полилиния 25"/>
        <xdr:cNvSpPr/>
      </xdr:nvSpPr>
      <xdr:spPr>
        <a:xfrm>
          <a:off x="2309687" y="10171387"/>
          <a:ext cx="124810" cy="624051"/>
        </a:xfrm>
        <a:custGeom>
          <a:avLst/>
          <a:gdLst>
            <a:gd name="connsiteX0" fmla="*/ 0 w 124810"/>
            <a:gd name="connsiteY0" fmla="*/ 624051 h 624051"/>
            <a:gd name="connsiteX1" fmla="*/ 32845 w 124810"/>
            <a:gd name="connsiteY1" fmla="*/ 295603 h 624051"/>
            <a:gd name="connsiteX2" fmla="*/ 124810 w 124810"/>
            <a:gd name="connsiteY2" fmla="*/ 0 h 6240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810" h="624051">
              <a:moveTo>
                <a:pt x="0" y="624051"/>
              </a:moveTo>
              <a:cubicBezTo>
                <a:pt x="6021" y="511831"/>
                <a:pt x="12043" y="399611"/>
                <a:pt x="32845" y="295603"/>
              </a:cubicBezTo>
              <a:cubicBezTo>
                <a:pt x="53647" y="191594"/>
                <a:pt x="124810" y="0"/>
                <a:pt x="12481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559339</xdr:colOff>
      <xdr:row>11</xdr:row>
      <xdr:rowOff>159791</xdr:rowOff>
    </xdr:from>
    <xdr:to>
      <xdr:col>3</xdr:col>
      <xdr:colOff>986434</xdr:colOff>
      <xdr:row>12</xdr:row>
      <xdr:rowOff>170235</xdr:rowOff>
    </xdr:to>
    <xdr:grpSp>
      <xdr:nvGrpSpPr>
        <xdr:cNvPr id="27" name="Группа 26"/>
        <xdr:cNvGrpSpPr/>
      </xdr:nvGrpSpPr>
      <xdr:grpSpPr>
        <a:xfrm>
          <a:off x="1523045" y="11724262"/>
          <a:ext cx="1009801" cy="1534444"/>
          <a:chOff x="1518408" y="11694894"/>
          <a:chExt cx="1005164" cy="1534444"/>
        </a:xfrm>
      </xdr:grpSpPr>
      <xdr:sp macro="" textlink="">
        <xdr:nvSpPr>
          <xdr:cNvPr id="28" name="Овал 27">
            <a:extLst>
              <a:ext uri="{FF2B5EF4-FFF2-40B4-BE49-F238E27FC236}">
                <a16:creationId xmlns:a16="http://schemas.microsoft.com/office/drawing/2014/main" id="{00000000-0008-0000-0900-000034020000}"/>
              </a:ext>
            </a:extLst>
          </xdr:cNvPr>
          <xdr:cNvSpPr/>
        </xdr:nvSpPr>
        <xdr:spPr>
          <a:xfrm rot="10966125">
            <a:off x="2339526" y="12884727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9" name="Полилиния 28"/>
          <xdr:cNvSpPr/>
        </xdr:nvSpPr>
        <xdr:spPr>
          <a:xfrm>
            <a:off x="2382767" y="11694894"/>
            <a:ext cx="140805" cy="1225826"/>
          </a:xfrm>
          <a:custGeom>
            <a:avLst/>
            <a:gdLst>
              <a:gd name="connsiteX0" fmla="*/ 0 w 140805"/>
              <a:gd name="connsiteY0" fmla="*/ 1225826 h 1225826"/>
              <a:gd name="connsiteX1" fmla="*/ 41413 w 140805"/>
              <a:gd name="connsiteY1" fmla="*/ 828261 h 1225826"/>
              <a:gd name="connsiteX2" fmla="*/ 82826 w 140805"/>
              <a:gd name="connsiteY2" fmla="*/ 289891 h 1225826"/>
              <a:gd name="connsiteX3" fmla="*/ 140805 w 140805"/>
              <a:gd name="connsiteY3" fmla="*/ 0 h 122582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40805" h="1225826">
                <a:moveTo>
                  <a:pt x="0" y="1225826"/>
                </a:moveTo>
                <a:cubicBezTo>
                  <a:pt x="13804" y="1105038"/>
                  <a:pt x="27609" y="984250"/>
                  <a:pt x="41413" y="828261"/>
                </a:cubicBezTo>
                <a:cubicBezTo>
                  <a:pt x="55217" y="672272"/>
                  <a:pt x="66261" y="427934"/>
                  <a:pt x="82826" y="289891"/>
                </a:cubicBezTo>
                <a:cubicBezTo>
                  <a:pt x="99391" y="151847"/>
                  <a:pt x="120098" y="75923"/>
                  <a:pt x="14080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0" name="Полилиния 29"/>
          <xdr:cNvSpPr/>
        </xdr:nvSpPr>
        <xdr:spPr>
          <a:xfrm>
            <a:off x="1797912" y="11811495"/>
            <a:ext cx="692305" cy="571500"/>
          </a:xfrm>
          <a:custGeom>
            <a:avLst/>
            <a:gdLst>
              <a:gd name="connsiteX0" fmla="*/ 0 w 692305"/>
              <a:gd name="connsiteY0" fmla="*/ 571500 h 571500"/>
              <a:gd name="connsiteX1" fmla="*/ 227671 w 692305"/>
              <a:gd name="connsiteY1" fmla="*/ 446048 h 571500"/>
              <a:gd name="connsiteX2" fmla="*/ 511097 w 692305"/>
              <a:gd name="connsiteY2" fmla="*/ 218378 h 571500"/>
              <a:gd name="connsiteX3" fmla="*/ 692305 w 692305"/>
              <a:gd name="connsiteY3" fmla="*/ 0 h 5715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692305" h="571500">
                <a:moveTo>
                  <a:pt x="0" y="571500"/>
                </a:moveTo>
                <a:cubicBezTo>
                  <a:pt x="71244" y="538201"/>
                  <a:pt x="142488" y="504902"/>
                  <a:pt x="227671" y="446048"/>
                </a:cubicBezTo>
                <a:cubicBezTo>
                  <a:pt x="312854" y="387194"/>
                  <a:pt x="433658" y="292719"/>
                  <a:pt x="511097" y="218378"/>
                </a:cubicBezTo>
                <a:cubicBezTo>
                  <a:pt x="588536" y="144037"/>
                  <a:pt x="692305" y="0"/>
                  <a:pt x="69230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" name="Полилиния 30"/>
          <xdr:cNvSpPr/>
        </xdr:nvSpPr>
        <xdr:spPr>
          <a:xfrm>
            <a:off x="1876321" y="11731336"/>
            <a:ext cx="381000" cy="724829"/>
          </a:xfrm>
          <a:custGeom>
            <a:avLst/>
            <a:gdLst>
              <a:gd name="connsiteX0" fmla="*/ 381000 w 381000"/>
              <a:gd name="connsiteY0" fmla="*/ 724829 h 724829"/>
              <a:gd name="connsiteX1" fmla="*/ 269488 w 381000"/>
              <a:gd name="connsiteY1" fmla="*/ 585439 h 724829"/>
              <a:gd name="connsiteX2" fmla="*/ 130098 w 381000"/>
              <a:gd name="connsiteY2" fmla="*/ 357768 h 724829"/>
              <a:gd name="connsiteX3" fmla="*/ 0 w 381000"/>
              <a:gd name="connsiteY3" fmla="*/ 0 h 72482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81000" h="724829">
                <a:moveTo>
                  <a:pt x="381000" y="724829"/>
                </a:moveTo>
                <a:cubicBezTo>
                  <a:pt x="346152" y="685722"/>
                  <a:pt x="311305" y="646616"/>
                  <a:pt x="269488" y="585439"/>
                </a:cubicBezTo>
                <a:cubicBezTo>
                  <a:pt x="227671" y="524262"/>
                  <a:pt x="175013" y="455341"/>
                  <a:pt x="130098" y="357768"/>
                </a:cubicBezTo>
                <a:cubicBezTo>
                  <a:pt x="85183" y="260195"/>
                  <a:pt x="42591" y="130097"/>
                  <a:pt x="0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triangl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2" name="Дуга 31"/>
          <xdr:cNvSpPr/>
        </xdr:nvSpPr>
        <xdr:spPr>
          <a:xfrm rot="10628886">
            <a:off x="1518408" y="12341689"/>
            <a:ext cx="886111" cy="887649"/>
          </a:xfrm>
          <a:prstGeom prst="arc">
            <a:avLst>
              <a:gd name="adj1" fmla="val 4747739"/>
              <a:gd name="adj2" fmla="val 10606923"/>
            </a:avLst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</xdr:col>
      <xdr:colOff>809853</xdr:colOff>
      <xdr:row>12</xdr:row>
      <xdr:rowOff>67236</xdr:rowOff>
    </xdr:from>
    <xdr:to>
      <xdr:col>3</xdr:col>
      <xdr:colOff>809853</xdr:colOff>
      <xdr:row>12</xdr:row>
      <xdr:rowOff>1379192</xdr:rowOff>
    </xdr:to>
    <xdr:cxnSp macro="">
      <xdr:nvCxnSpPr>
        <xdr:cNvPr id="33" name="Прямая со стрелкой 3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2903" y="13135536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768860</xdr:colOff>
      <xdr:row>12</xdr:row>
      <xdr:rowOff>1361493</xdr:rowOff>
    </xdr:from>
    <xdr:to>
      <xdr:col>3</xdr:col>
      <xdr:colOff>840860</xdr:colOff>
      <xdr:row>12</xdr:row>
      <xdr:rowOff>1433493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1910" y="1442979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983532</xdr:colOff>
      <xdr:row>12</xdr:row>
      <xdr:rowOff>705480</xdr:rowOff>
    </xdr:from>
    <xdr:to>
      <xdr:col>3</xdr:col>
      <xdr:colOff>1055532</xdr:colOff>
      <xdr:row>12</xdr:row>
      <xdr:rowOff>777480</xdr:rowOff>
    </xdr:to>
    <xdr:sp macro="" textlink="">
      <xdr:nvSpPr>
        <xdr:cNvPr id="35" name="5-конечная звезда 3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26582" y="13773780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481853</xdr:colOff>
      <xdr:row>12</xdr:row>
      <xdr:rowOff>515470</xdr:rowOff>
    </xdr:from>
    <xdr:to>
      <xdr:col>5</xdr:col>
      <xdr:colOff>596232</xdr:colOff>
      <xdr:row>12</xdr:row>
      <xdr:rowOff>905995</xdr:rowOff>
    </xdr:to>
    <xdr:sp macro="" textlink="">
      <xdr:nvSpPr>
        <xdr:cNvPr id="36" name="Прямоугольник 35"/>
        <xdr:cNvSpPr/>
      </xdr:nvSpPr>
      <xdr:spPr>
        <a:xfrm>
          <a:off x="3606053" y="13583770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???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1008529</xdr:colOff>
      <xdr:row>29</xdr:row>
      <xdr:rowOff>112059</xdr:rowOff>
    </xdr:from>
    <xdr:to>
      <xdr:col>5</xdr:col>
      <xdr:colOff>294154</xdr:colOff>
      <xdr:row>29</xdr:row>
      <xdr:rowOff>778809</xdr:rowOff>
    </xdr:to>
    <xdr:pic>
      <xdr:nvPicPr>
        <xdr:cNvPr id="37" name="Рисунок 36" descr="Картинки по запросу знак главная дорог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2729" y="39088359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1042145</xdr:colOff>
      <xdr:row>29</xdr:row>
      <xdr:rowOff>856780</xdr:rowOff>
    </xdr:from>
    <xdr:to>
      <xdr:col>5</xdr:col>
      <xdr:colOff>227478</xdr:colOff>
      <xdr:row>29</xdr:row>
      <xdr:rowOff>1422588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345" y="39833080"/>
          <a:ext cx="566458" cy="565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813287</xdr:colOff>
      <xdr:row>29</xdr:row>
      <xdr:rowOff>100853</xdr:rowOff>
    </xdr:from>
    <xdr:to>
      <xdr:col>3</xdr:col>
      <xdr:colOff>813287</xdr:colOff>
      <xdr:row>29</xdr:row>
      <xdr:rowOff>1392780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6337" y="39077153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772294</xdr:colOff>
      <xdr:row>29</xdr:row>
      <xdr:rowOff>1375084</xdr:rowOff>
    </xdr:from>
    <xdr:to>
      <xdr:col>3</xdr:col>
      <xdr:colOff>844294</xdr:colOff>
      <xdr:row>29</xdr:row>
      <xdr:rowOff>1447084</xdr:rowOff>
    </xdr:to>
    <xdr:sp macro="" textlink="">
      <xdr:nvSpPr>
        <xdr:cNvPr id="40" name="Овал 3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5344" y="4035138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134470</xdr:colOff>
      <xdr:row>29</xdr:row>
      <xdr:rowOff>712979</xdr:rowOff>
    </xdr:from>
    <xdr:to>
      <xdr:col>3</xdr:col>
      <xdr:colOff>816747</xdr:colOff>
      <xdr:row>29</xdr:row>
      <xdr:rowOff>941293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77520" y="39689279"/>
          <a:ext cx="682277" cy="228314"/>
        </a:xfrm>
        <a:prstGeom prst="straightConnector1">
          <a:avLst/>
        </a:prstGeom>
        <a:ln w="19050">
          <a:prstDash val="solid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941294</xdr:colOff>
      <xdr:row>29</xdr:row>
      <xdr:rowOff>829235</xdr:rowOff>
    </xdr:from>
    <xdr:to>
      <xdr:col>3</xdr:col>
      <xdr:colOff>1013294</xdr:colOff>
      <xdr:row>29</xdr:row>
      <xdr:rowOff>901235</xdr:rowOff>
    </xdr:to>
    <xdr:sp macro="" textlink="">
      <xdr:nvSpPr>
        <xdr:cNvPr id="42" name="5-конечная звезда 41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4344" y="3980553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963707</xdr:colOff>
      <xdr:row>30</xdr:row>
      <xdr:rowOff>649941</xdr:rowOff>
    </xdr:from>
    <xdr:to>
      <xdr:col>5</xdr:col>
      <xdr:colOff>283238</xdr:colOff>
      <xdr:row>30</xdr:row>
      <xdr:rowOff>1269066</xdr:rowOff>
    </xdr:to>
    <xdr:pic>
      <xdr:nvPicPr>
        <xdr:cNvPr id="43" name="Рисунок 42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7907" y="41150241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896471</xdr:colOff>
      <xdr:row>30</xdr:row>
      <xdr:rowOff>347382</xdr:rowOff>
    </xdr:from>
    <xdr:to>
      <xdr:col>5</xdr:col>
      <xdr:colOff>326275</xdr:colOff>
      <xdr:row>30</xdr:row>
      <xdr:rowOff>616488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20671" y="40847682"/>
          <a:ext cx="810929" cy="269106"/>
        </a:xfrm>
        <a:prstGeom prst="rect">
          <a:avLst/>
        </a:prstGeom>
      </xdr:spPr>
    </xdr:pic>
    <xdr:clientData/>
  </xdr:twoCellAnchor>
  <xdr:twoCellAnchor>
    <xdr:from>
      <xdr:col>3</xdr:col>
      <xdr:colOff>123265</xdr:colOff>
      <xdr:row>30</xdr:row>
      <xdr:rowOff>739787</xdr:rowOff>
    </xdr:from>
    <xdr:to>
      <xdr:col>3</xdr:col>
      <xdr:colOff>1449197</xdr:colOff>
      <xdr:row>30</xdr:row>
      <xdr:rowOff>739787</xdr:rowOff>
    </xdr:to>
    <xdr:cxnSp macro="">
      <xdr:nvCxnSpPr>
        <xdr:cNvPr id="45" name="Прямая со стрелкой 4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200000" flipV="1">
          <a:off x="2329281" y="40577121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743159</xdr:colOff>
      <xdr:row>30</xdr:row>
      <xdr:rowOff>1378012</xdr:rowOff>
    </xdr:from>
    <xdr:to>
      <xdr:col>3</xdr:col>
      <xdr:colOff>815159</xdr:colOff>
      <xdr:row>30</xdr:row>
      <xdr:rowOff>1450012</xdr:rowOff>
    </xdr:to>
    <xdr:sp macro="" textlink="">
      <xdr:nvSpPr>
        <xdr:cNvPr id="46" name="Овал 4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86209" y="4187831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780801</xdr:colOff>
      <xdr:row>30</xdr:row>
      <xdr:rowOff>739588</xdr:rowOff>
    </xdr:from>
    <xdr:to>
      <xdr:col>3</xdr:col>
      <xdr:colOff>780801</xdr:colOff>
      <xdr:row>30</xdr:row>
      <xdr:rowOff>1443609</xdr:rowOff>
    </xdr:to>
    <xdr:cxnSp macro="">
      <xdr:nvCxnSpPr>
        <xdr:cNvPr id="47" name="Прямая соединительная линия 46"/>
        <xdr:cNvCxnSpPr/>
      </xdr:nvCxnSpPr>
      <xdr:spPr>
        <a:xfrm rot="16200000" flipH="1">
          <a:off x="1971840" y="41591899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941294</xdr:colOff>
      <xdr:row>30</xdr:row>
      <xdr:rowOff>874058</xdr:rowOff>
    </xdr:from>
    <xdr:to>
      <xdr:col>3</xdr:col>
      <xdr:colOff>1013294</xdr:colOff>
      <xdr:row>30</xdr:row>
      <xdr:rowOff>946058</xdr:rowOff>
    </xdr:to>
    <xdr:sp macro="" textlink="">
      <xdr:nvSpPr>
        <xdr:cNvPr id="48" name="5-конечная звезда 47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4344" y="4137435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73742</xdr:colOff>
      <xdr:row>31</xdr:row>
      <xdr:rowOff>857250</xdr:rowOff>
    </xdr:from>
    <xdr:to>
      <xdr:col>3</xdr:col>
      <xdr:colOff>788653</xdr:colOff>
      <xdr:row>31</xdr:row>
      <xdr:rowOff>857250</xdr:rowOff>
    </xdr:to>
    <xdr:cxnSp macro="">
      <xdr:nvCxnSpPr>
        <xdr:cNvPr id="49" name="Прямая со стрелкой 4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1616792" y="42881550"/>
          <a:ext cx="714911" cy="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823413</xdr:colOff>
      <xdr:row>31</xdr:row>
      <xdr:rowOff>1370965</xdr:rowOff>
    </xdr:from>
    <xdr:to>
      <xdr:col>3</xdr:col>
      <xdr:colOff>895413</xdr:colOff>
      <xdr:row>31</xdr:row>
      <xdr:rowOff>1442965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366463" y="4339526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668742</xdr:colOff>
      <xdr:row>31</xdr:row>
      <xdr:rowOff>100856</xdr:rowOff>
    </xdr:from>
    <xdr:to>
      <xdr:col>3</xdr:col>
      <xdr:colOff>668742</xdr:colOff>
      <xdr:row>31</xdr:row>
      <xdr:rowOff>1421199</xdr:rowOff>
    </xdr:to>
    <xdr:cxnSp macro="">
      <xdr:nvCxnSpPr>
        <xdr:cNvPr id="51" name="Прямая соединительная линия 50"/>
        <xdr:cNvCxnSpPr/>
      </xdr:nvCxnSpPr>
      <xdr:spPr>
        <a:xfrm>
          <a:off x="2211792" y="42125156"/>
          <a:ext cx="0" cy="132034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769326</xdr:colOff>
      <xdr:row>31</xdr:row>
      <xdr:rowOff>105650</xdr:rowOff>
    </xdr:from>
    <xdr:to>
      <xdr:col>3</xdr:col>
      <xdr:colOff>856776</xdr:colOff>
      <xdr:row>31</xdr:row>
      <xdr:rowOff>1406769</xdr:rowOff>
    </xdr:to>
    <xdr:sp macro="" textlink="">
      <xdr:nvSpPr>
        <xdr:cNvPr id="52" name="Полилиния 51"/>
        <xdr:cNvSpPr/>
      </xdr:nvSpPr>
      <xdr:spPr>
        <a:xfrm>
          <a:off x="2312376" y="42129950"/>
          <a:ext cx="87450" cy="1301119"/>
        </a:xfrm>
        <a:custGeom>
          <a:avLst/>
          <a:gdLst>
            <a:gd name="connsiteX0" fmla="*/ 67935 w 79613"/>
            <a:gd name="connsiteY0" fmla="*/ 1304192 h 1304192"/>
            <a:gd name="connsiteX1" fmla="*/ 75262 w 79613"/>
            <a:gd name="connsiteY1" fmla="*/ 820615 h 1304192"/>
            <a:gd name="connsiteX2" fmla="*/ 9320 w 79613"/>
            <a:gd name="connsiteY2" fmla="*/ 681404 h 1304192"/>
            <a:gd name="connsiteX3" fmla="*/ 1993 w 79613"/>
            <a:gd name="connsiteY3" fmla="*/ 0 h 1304192"/>
            <a:gd name="connsiteX0" fmla="*/ 89443 w 92722"/>
            <a:gd name="connsiteY0" fmla="*/ 1304192 h 1304192"/>
            <a:gd name="connsiteX1" fmla="*/ 75262 w 92722"/>
            <a:gd name="connsiteY1" fmla="*/ 820615 h 1304192"/>
            <a:gd name="connsiteX2" fmla="*/ 9320 w 92722"/>
            <a:gd name="connsiteY2" fmla="*/ 681404 h 1304192"/>
            <a:gd name="connsiteX3" fmla="*/ 1993 w 92722"/>
            <a:gd name="connsiteY3" fmla="*/ 0 h 1304192"/>
            <a:gd name="connsiteX0" fmla="*/ 89443 w 89443"/>
            <a:gd name="connsiteY0" fmla="*/ 1304192 h 1304192"/>
            <a:gd name="connsiteX1" fmla="*/ 75262 w 89443"/>
            <a:gd name="connsiteY1" fmla="*/ 820615 h 1304192"/>
            <a:gd name="connsiteX2" fmla="*/ 9320 w 89443"/>
            <a:gd name="connsiteY2" fmla="*/ 681404 h 1304192"/>
            <a:gd name="connsiteX3" fmla="*/ 1993 w 89443"/>
            <a:gd name="connsiteY3" fmla="*/ 0 h 1304192"/>
            <a:gd name="connsiteX0" fmla="*/ 89443 w 89443"/>
            <a:gd name="connsiteY0" fmla="*/ 1301119 h 1301119"/>
            <a:gd name="connsiteX1" fmla="*/ 75262 w 89443"/>
            <a:gd name="connsiteY1" fmla="*/ 817542 h 1301119"/>
            <a:gd name="connsiteX2" fmla="*/ 9320 w 89443"/>
            <a:gd name="connsiteY2" fmla="*/ 678331 h 1301119"/>
            <a:gd name="connsiteX3" fmla="*/ 1993 w 89443"/>
            <a:gd name="connsiteY3" fmla="*/ 0 h 1301119"/>
            <a:gd name="connsiteX0" fmla="*/ 87450 w 87450"/>
            <a:gd name="connsiteY0" fmla="*/ 1301119 h 1301119"/>
            <a:gd name="connsiteX1" fmla="*/ 73269 w 87450"/>
            <a:gd name="connsiteY1" fmla="*/ 817542 h 1301119"/>
            <a:gd name="connsiteX2" fmla="*/ 7327 w 87450"/>
            <a:gd name="connsiteY2" fmla="*/ 678331 h 1301119"/>
            <a:gd name="connsiteX3" fmla="*/ 0 w 87450"/>
            <a:gd name="connsiteY3" fmla="*/ 0 h 1301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7450" h="1301119">
              <a:moveTo>
                <a:pt x="87450" y="1301119"/>
              </a:moveTo>
              <a:cubicBezTo>
                <a:pt x="86780" y="1111229"/>
                <a:pt x="86623" y="921340"/>
                <a:pt x="73269" y="817542"/>
              </a:cubicBezTo>
              <a:cubicBezTo>
                <a:pt x="59915" y="713744"/>
                <a:pt x="19538" y="814588"/>
                <a:pt x="7327" y="678331"/>
              </a:cubicBezTo>
              <a:cubicBezTo>
                <a:pt x="-4884" y="542074"/>
                <a:pt x="3704" y="28768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123266</xdr:colOff>
      <xdr:row>32</xdr:row>
      <xdr:rowOff>789486</xdr:rowOff>
    </xdr:from>
    <xdr:to>
      <xdr:col>3</xdr:col>
      <xdr:colOff>1449198</xdr:colOff>
      <xdr:row>32</xdr:row>
      <xdr:rowOff>789486</xdr:rowOff>
    </xdr:to>
    <xdr:cxnSp macro="">
      <xdr:nvCxnSpPr>
        <xdr:cNvPr id="53" name="Прямая со стрелкой 5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5400000" flipH="1" flipV="1">
          <a:off x="2329282" y="43674820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743160</xdr:colOff>
      <xdr:row>32</xdr:row>
      <xdr:rowOff>1369730</xdr:rowOff>
    </xdr:from>
    <xdr:to>
      <xdr:col>3</xdr:col>
      <xdr:colOff>815160</xdr:colOff>
      <xdr:row>32</xdr:row>
      <xdr:rowOff>1441730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86210" y="4491803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780802</xdr:colOff>
      <xdr:row>32</xdr:row>
      <xdr:rowOff>786851</xdr:rowOff>
    </xdr:from>
    <xdr:to>
      <xdr:col>3</xdr:col>
      <xdr:colOff>780802</xdr:colOff>
      <xdr:row>32</xdr:row>
      <xdr:rowOff>1435327</xdr:rowOff>
    </xdr:to>
    <xdr:cxnSp macro="">
      <xdr:nvCxnSpPr>
        <xdr:cNvPr id="55" name="Прямая соединительная линия 54"/>
        <xdr:cNvCxnSpPr/>
      </xdr:nvCxnSpPr>
      <xdr:spPr>
        <a:xfrm>
          <a:off x="2323852" y="44335151"/>
          <a:ext cx="0" cy="648476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911090</xdr:colOff>
      <xdr:row>32</xdr:row>
      <xdr:rowOff>422416</xdr:rowOff>
    </xdr:from>
    <xdr:to>
      <xdr:col>3</xdr:col>
      <xdr:colOff>1428968</xdr:colOff>
      <xdr:row>32</xdr:row>
      <xdr:rowOff>786853</xdr:rowOff>
    </xdr:to>
    <xdr:cxnSp macro="">
      <xdr:nvCxnSpPr>
        <xdr:cNvPr id="56" name="Прямая соединительная линия 55"/>
        <xdr:cNvCxnSpPr/>
      </xdr:nvCxnSpPr>
      <xdr:spPr>
        <a:xfrm flipH="1">
          <a:off x="2454140" y="43970716"/>
          <a:ext cx="517878" cy="36443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800213</xdr:colOff>
      <xdr:row>33</xdr:row>
      <xdr:rowOff>85725</xdr:rowOff>
    </xdr:from>
    <xdr:to>
      <xdr:col>3</xdr:col>
      <xdr:colOff>800213</xdr:colOff>
      <xdr:row>33</xdr:row>
      <xdr:rowOff>1411657</xdr:rowOff>
    </xdr:to>
    <xdr:cxnSp macro="">
      <xdr:nvCxnSpPr>
        <xdr:cNvPr id="57" name="Прямая со стрелкой 5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3263" y="45158025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757980</xdr:colOff>
      <xdr:row>33</xdr:row>
      <xdr:rowOff>1381894</xdr:rowOff>
    </xdr:from>
    <xdr:to>
      <xdr:col>3</xdr:col>
      <xdr:colOff>829980</xdr:colOff>
      <xdr:row>33</xdr:row>
      <xdr:rowOff>1453894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1030" y="4645419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95250</xdr:colOff>
      <xdr:row>33</xdr:row>
      <xdr:rowOff>770926</xdr:rowOff>
    </xdr:from>
    <xdr:to>
      <xdr:col>3</xdr:col>
      <xdr:colOff>1506310</xdr:colOff>
      <xdr:row>33</xdr:row>
      <xdr:rowOff>770926</xdr:rowOff>
    </xdr:to>
    <xdr:cxnSp macro="">
      <xdr:nvCxnSpPr>
        <xdr:cNvPr id="59" name="Прямая соединительная линия 58"/>
        <xdr:cNvCxnSpPr/>
      </xdr:nvCxnSpPr>
      <xdr:spPr>
        <a:xfrm>
          <a:off x="1638300" y="45843226"/>
          <a:ext cx="1411060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</xdr:colOff>
      <xdr:row>34</xdr:row>
      <xdr:rowOff>727926</xdr:rowOff>
    </xdr:from>
    <xdr:to>
      <xdr:col>3</xdr:col>
      <xdr:colOff>1466850</xdr:colOff>
      <xdr:row>34</xdr:row>
      <xdr:rowOff>942975</xdr:rowOff>
    </xdr:to>
    <xdr:sp macro="" textlink="">
      <xdr:nvSpPr>
        <xdr:cNvPr id="60" name="Полилиния 59"/>
        <xdr:cNvSpPr/>
      </xdr:nvSpPr>
      <xdr:spPr>
        <a:xfrm>
          <a:off x="1647825" y="47324226"/>
          <a:ext cx="1362075" cy="215049"/>
        </a:xfrm>
        <a:custGeom>
          <a:avLst/>
          <a:gdLst>
            <a:gd name="connsiteX0" fmla="*/ 0 w 1362075"/>
            <a:gd name="connsiteY0" fmla="*/ 5499 h 215049"/>
            <a:gd name="connsiteX1" fmla="*/ 504825 w 1362075"/>
            <a:gd name="connsiteY1" fmla="*/ 5499 h 215049"/>
            <a:gd name="connsiteX2" fmla="*/ 733425 w 1362075"/>
            <a:gd name="connsiteY2" fmla="*/ 62649 h 215049"/>
            <a:gd name="connsiteX3" fmla="*/ 1362075 w 1362075"/>
            <a:gd name="connsiteY3" fmla="*/ 215049 h 2150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62075" h="215049">
              <a:moveTo>
                <a:pt x="0" y="5499"/>
              </a:moveTo>
              <a:cubicBezTo>
                <a:pt x="191294" y="736"/>
                <a:pt x="382588" y="-4026"/>
                <a:pt x="504825" y="5499"/>
              </a:cubicBezTo>
              <a:cubicBezTo>
                <a:pt x="627063" y="15024"/>
                <a:pt x="733425" y="62649"/>
                <a:pt x="733425" y="62649"/>
              </a:cubicBezTo>
              <a:lnTo>
                <a:pt x="1362075" y="215049"/>
              </a:ln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560618</xdr:colOff>
      <xdr:row>34</xdr:row>
      <xdr:rowOff>70757</xdr:rowOff>
    </xdr:from>
    <xdr:to>
      <xdr:col>3</xdr:col>
      <xdr:colOff>609604</xdr:colOff>
      <xdr:row>34</xdr:row>
      <xdr:rowOff>740229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 flipV="1">
          <a:off x="2103668" y="46667057"/>
          <a:ext cx="48986" cy="66947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781163</xdr:colOff>
      <xdr:row>34</xdr:row>
      <xdr:rowOff>771525</xdr:rowOff>
    </xdr:from>
    <xdr:to>
      <xdr:col>3</xdr:col>
      <xdr:colOff>781163</xdr:colOff>
      <xdr:row>34</xdr:row>
      <xdr:rowOff>1431472</xdr:rowOff>
    </xdr:to>
    <xdr:cxnSp macro="">
      <xdr:nvCxnSpPr>
        <xdr:cNvPr id="62" name="Прямая со стрелкой 6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24213" y="47367825"/>
          <a:ext cx="0" cy="659947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749816</xdr:colOff>
      <xdr:row>34</xdr:row>
      <xdr:rowOff>1392781</xdr:rowOff>
    </xdr:from>
    <xdr:to>
      <xdr:col>3</xdr:col>
      <xdr:colOff>821816</xdr:colOff>
      <xdr:row>34</xdr:row>
      <xdr:rowOff>1464781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2866" y="4798908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836422</xdr:colOff>
      <xdr:row>35</xdr:row>
      <xdr:rowOff>1348277</xdr:rowOff>
    </xdr:from>
    <xdr:to>
      <xdr:col>3</xdr:col>
      <xdr:colOff>908422</xdr:colOff>
      <xdr:row>35</xdr:row>
      <xdr:rowOff>1420277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79472" y="4946857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95250</xdr:colOff>
      <xdr:row>35</xdr:row>
      <xdr:rowOff>737309</xdr:rowOff>
    </xdr:from>
    <xdr:to>
      <xdr:col>3</xdr:col>
      <xdr:colOff>1506310</xdr:colOff>
      <xdr:row>35</xdr:row>
      <xdr:rowOff>737309</xdr:rowOff>
    </xdr:to>
    <xdr:cxnSp macro="">
      <xdr:nvCxnSpPr>
        <xdr:cNvPr id="65" name="Прямая соединительная линия 64"/>
        <xdr:cNvCxnSpPr/>
      </xdr:nvCxnSpPr>
      <xdr:spPr>
        <a:xfrm>
          <a:off x="1638300" y="48857609"/>
          <a:ext cx="1411060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878655</xdr:colOff>
      <xdr:row>35</xdr:row>
      <xdr:rowOff>739588</xdr:rowOff>
    </xdr:from>
    <xdr:to>
      <xdr:col>3</xdr:col>
      <xdr:colOff>878655</xdr:colOff>
      <xdr:row>35</xdr:row>
      <xdr:rowOff>1411657</xdr:rowOff>
    </xdr:to>
    <xdr:cxnSp macro="">
      <xdr:nvCxnSpPr>
        <xdr:cNvPr id="66" name="Прямая со стрелкой 6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421705" y="48859888"/>
          <a:ext cx="0" cy="672069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688155</xdr:colOff>
      <xdr:row>35</xdr:row>
      <xdr:rowOff>68415</xdr:rowOff>
    </xdr:from>
    <xdr:to>
      <xdr:col>3</xdr:col>
      <xdr:colOff>688155</xdr:colOff>
      <xdr:row>35</xdr:row>
      <xdr:rowOff>740484</xdr:rowOff>
    </xdr:to>
    <xdr:cxnSp macro="">
      <xdr:nvCxnSpPr>
        <xdr:cNvPr id="67" name="Прямая со стрелкой 6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231205" y="48188715"/>
          <a:ext cx="0" cy="672069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739040</xdr:colOff>
      <xdr:row>37</xdr:row>
      <xdr:rowOff>1395769</xdr:rowOff>
    </xdr:from>
    <xdr:to>
      <xdr:col>3</xdr:col>
      <xdr:colOff>811040</xdr:colOff>
      <xdr:row>37</xdr:row>
      <xdr:rowOff>1467769</xdr:rowOff>
    </xdr:to>
    <xdr:sp macro="" textlink="">
      <xdr:nvSpPr>
        <xdr:cNvPr id="68" name="Овал 67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4928559" flipH="1">
          <a:off x="2282090" y="5256406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752891</xdr:colOff>
      <xdr:row>37</xdr:row>
      <xdr:rowOff>101203</xdr:rowOff>
    </xdr:from>
    <xdr:to>
      <xdr:col>3</xdr:col>
      <xdr:colOff>782712</xdr:colOff>
      <xdr:row>37</xdr:row>
      <xdr:rowOff>1416843</xdr:rowOff>
    </xdr:to>
    <xdr:sp macro="" textlink="">
      <xdr:nvSpPr>
        <xdr:cNvPr id="69" name="Полилиния 68"/>
        <xdr:cNvSpPr/>
      </xdr:nvSpPr>
      <xdr:spPr>
        <a:xfrm>
          <a:off x="2295941" y="51269503"/>
          <a:ext cx="29821" cy="1315640"/>
        </a:xfrm>
        <a:custGeom>
          <a:avLst/>
          <a:gdLst>
            <a:gd name="connsiteX0" fmla="*/ 23867 w 29821"/>
            <a:gd name="connsiteY0" fmla="*/ 1315640 h 1315640"/>
            <a:gd name="connsiteX1" fmla="*/ 55 w 29821"/>
            <a:gd name="connsiteY1" fmla="*/ 666750 h 1315640"/>
            <a:gd name="connsiteX2" fmla="*/ 29821 w 29821"/>
            <a:gd name="connsiteY2" fmla="*/ 0 h 13156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821" h="1315640">
              <a:moveTo>
                <a:pt x="23867" y="1315640"/>
              </a:moveTo>
              <a:cubicBezTo>
                <a:pt x="11465" y="1100831"/>
                <a:pt x="-937" y="886023"/>
                <a:pt x="55" y="666750"/>
              </a:cubicBezTo>
              <a:cubicBezTo>
                <a:pt x="1047" y="447477"/>
                <a:pt x="29821" y="0"/>
                <a:pt x="29821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140805</xdr:colOff>
      <xdr:row>37</xdr:row>
      <xdr:rowOff>402242</xdr:rowOff>
    </xdr:from>
    <xdr:to>
      <xdr:col>3</xdr:col>
      <xdr:colOff>747432</xdr:colOff>
      <xdr:row>37</xdr:row>
      <xdr:rowOff>888867</xdr:rowOff>
    </xdr:to>
    <xdr:cxnSp macro="">
      <xdr:nvCxnSpPr>
        <xdr:cNvPr id="70" name="Прямая со стрелкой 69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>
          <a:off x="1683855" y="51570542"/>
          <a:ext cx="606627" cy="48662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760983</xdr:colOff>
      <xdr:row>37</xdr:row>
      <xdr:rowOff>566492</xdr:rowOff>
    </xdr:from>
    <xdr:to>
      <xdr:col>3</xdr:col>
      <xdr:colOff>1441174</xdr:colOff>
      <xdr:row>37</xdr:row>
      <xdr:rowOff>976900</xdr:rowOff>
    </xdr:to>
    <xdr:cxnSp macro="">
      <xdr:nvCxnSpPr>
        <xdr:cNvPr id="71" name="Прямая со стрелкой 70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flipV="1">
          <a:off x="2304033" y="51734792"/>
          <a:ext cx="680191" cy="410408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124558</xdr:colOff>
      <xdr:row>38</xdr:row>
      <xdr:rowOff>549519</xdr:rowOff>
    </xdr:from>
    <xdr:to>
      <xdr:col>3</xdr:col>
      <xdr:colOff>793784</xdr:colOff>
      <xdr:row>38</xdr:row>
      <xdr:rowOff>829502</xdr:rowOff>
    </xdr:to>
    <xdr:cxnSp macro="">
      <xdr:nvCxnSpPr>
        <xdr:cNvPr id="72" name="Прямая со стрелкой 71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flipH="1" flipV="1">
          <a:off x="1667608" y="53241819"/>
          <a:ext cx="669226" cy="279983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738582</xdr:colOff>
      <xdr:row>38</xdr:row>
      <xdr:rowOff>1375162</xdr:rowOff>
    </xdr:from>
    <xdr:to>
      <xdr:col>3</xdr:col>
      <xdr:colOff>810582</xdr:colOff>
      <xdr:row>38</xdr:row>
      <xdr:rowOff>1447162</xdr:rowOff>
    </xdr:to>
    <xdr:sp macro="" textlink="">
      <xdr:nvSpPr>
        <xdr:cNvPr id="73" name="Овал 72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4928559" flipH="1">
          <a:off x="2281632" y="5406746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809853</xdr:colOff>
      <xdr:row>19</xdr:row>
      <xdr:rowOff>67236</xdr:rowOff>
    </xdr:from>
    <xdr:to>
      <xdr:col>3</xdr:col>
      <xdr:colOff>809853</xdr:colOff>
      <xdr:row>19</xdr:row>
      <xdr:rowOff>1379192</xdr:rowOff>
    </xdr:to>
    <xdr:cxnSp macro="">
      <xdr:nvCxnSpPr>
        <xdr:cNvPr id="78" name="Прямая со стрелкой 7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2903" y="23803536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768860</xdr:colOff>
      <xdr:row>19</xdr:row>
      <xdr:rowOff>1361493</xdr:rowOff>
    </xdr:from>
    <xdr:to>
      <xdr:col>3</xdr:col>
      <xdr:colOff>840860</xdr:colOff>
      <xdr:row>19</xdr:row>
      <xdr:rowOff>1433493</xdr:rowOff>
    </xdr:to>
    <xdr:sp macro="" textlink="">
      <xdr:nvSpPr>
        <xdr:cNvPr id="79" name="Овал 7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1910" y="2509779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714603</xdr:colOff>
      <xdr:row>21</xdr:row>
      <xdr:rowOff>67236</xdr:rowOff>
    </xdr:from>
    <xdr:to>
      <xdr:col>3</xdr:col>
      <xdr:colOff>714603</xdr:colOff>
      <xdr:row>21</xdr:row>
      <xdr:rowOff>1379192</xdr:rowOff>
    </xdr:to>
    <xdr:cxnSp macro="">
      <xdr:nvCxnSpPr>
        <xdr:cNvPr id="80" name="Прямая со стрелкой 7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57653" y="26851536"/>
          <a:ext cx="0" cy="13119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673610</xdr:colOff>
      <xdr:row>21</xdr:row>
      <xdr:rowOff>1361493</xdr:rowOff>
    </xdr:from>
    <xdr:to>
      <xdr:col>3</xdr:col>
      <xdr:colOff>745610</xdr:colOff>
      <xdr:row>21</xdr:row>
      <xdr:rowOff>1433493</xdr:rowOff>
    </xdr:to>
    <xdr:sp macro="" textlink="">
      <xdr:nvSpPr>
        <xdr:cNvPr id="81" name="Овал 8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16660" y="2814579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718038</xdr:colOff>
      <xdr:row>21</xdr:row>
      <xdr:rowOff>373673</xdr:rowOff>
    </xdr:from>
    <xdr:to>
      <xdr:col>3</xdr:col>
      <xdr:colOff>1252904</xdr:colOff>
      <xdr:row>21</xdr:row>
      <xdr:rowOff>1340827</xdr:rowOff>
    </xdr:to>
    <xdr:sp macro="" textlink="">
      <xdr:nvSpPr>
        <xdr:cNvPr id="82" name="Полилиния 81"/>
        <xdr:cNvSpPr/>
      </xdr:nvSpPr>
      <xdr:spPr>
        <a:xfrm>
          <a:off x="2261088" y="27157973"/>
          <a:ext cx="534866" cy="967154"/>
        </a:xfrm>
        <a:custGeom>
          <a:avLst/>
          <a:gdLst>
            <a:gd name="connsiteX0" fmla="*/ 0 w 534866"/>
            <a:gd name="connsiteY0" fmla="*/ 0 h 967154"/>
            <a:gd name="connsiteX1" fmla="*/ 205154 w 534866"/>
            <a:gd name="connsiteY1" fmla="*/ 505558 h 967154"/>
            <a:gd name="connsiteX2" fmla="*/ 534866 w 534866"/>
            <a:gd name="connsiteY2" fmla="*/ 967154 h 96715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34866" h="967154">
              <a:moveTo>
                <a:pt x="0" y="0"/>
              </a:moveTo>
              <a:cubicBezTo>
                <a:pt x="58005" y="172183"/>
                <a:pt x="116010" y="344366"/>
                <a:pt x="205154" y="505558"/>
              </a:cubicBezTo>
              <a:cubicBezTo>
                <a:pt x="294298" y="666750"/>
                <a:pt x="414582" y="816952"/>
                <a:pt x="534866" y="967154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713568</xdr:colOff>
      <xdr:row>21</xdr:row>
      <xdr:rowOff>1068117</xdr:rowOff>
    </xdr:from>
    <xdr:to>
      <xdr:col>3</xdr:col>
      <xdr:colOff>1088110</xdr:colOff>
      <xdr:row>21</xdr:row>
      <xdr:rowOff>1223721</xdr:rowOff>
    </xdr:to>
    <xdr:sp macro="" textlink="">
      <xdr:nvSpPr>
        <xdr:cNvPr id="83" name="Полилиния 82"/>
        <xdr:cNvSpPr/>
      </xdr:nvSpPr>
      <xdr:spPr>
        <a:xfrm>
          <a:off x="2256618" y="27852417"/>
          <a:ext cx="374542" cy="155604"/>
        </a:xfrm>
        <a:custGeom>
          <a:avLst/>
          <a:gdLst>
            <a:gd name="connsiteX0" fmla="*/ 0 w 374542"/>
            <a:gd name="connsiteY0" fmla="*/ 155604 h 155604"/>
            <a:gd name="connsiteX1" fmla="*/ 58118 w 374542"/>
            <a:gd name="connsiteY1" fmla="*/ 71654 h 155604"/>
            <a:gd name="connsiteX2" fmla="*/ 138839 w 374542"/>
            <a:gd name="connsiteY2" fmla="*/ 13536 h 155604"/>
            <a:gd name="connsiteX3" fmla="*/ 235703 w 374542"/>
            <a:gd name="connsiteY3" fmla="*/ 621 h 155604"/>
            <a:gd name="connsiteX4" fmla="*/ 316423 w 374542"/>
            <a:gd name="connsiteY4" fmla="*/ 26451 h 155604"/>
            <a:gd name="connsiteX5" fmla="*/ 374542 w 374542"/>
            <a:gd name="connsiteY5" fmla="*/ 65197 h 1556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374542" h="155604">
              <a:moveTo>
                <a:pt x="0" y="155604"/>
              </a:moveTo>
              <a:cubicBezTo>
                <a:pt x="17489" y="125468"/>
                <a:pt x="34978" y="95332"/>
                <a:pt x="58118" y="71654"/>
              </a:cubicBezTo>
              <a:cubicBezTo>
                <a:pt x="81258" y="47976"/>
                <a:pt x="109242" y="25375"/>
                <a:pt x="138839" y="13536"/>
              </a:cubicBezTo>
              <a:cubicBezTo>
                <a:pt x="168437" y="1697"/>
                <a:pt x="206106" y="-1531"/>
                <a:pt x="235703" y="621"/>
              </a:cubicBezTo>
              <a:cubicBezTo>
                <a:pt x="265300" y="2773"/>
                <a:pt x="293283" y="15688"/>
                <a:pt x="316423" y="26451"/>
              </a:cubicBezTo>
              <a:cubicBezTo>
                <a:pt x="339563" y="37214"/>
                <a:pt x="357052" y="51205"/>
                <a:pt x="374542" y="65197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470647</xdr:colOff>
      <xdr:row>22</xdr:row>
      <xdr:rowOff>448235</xdr:rowOff>
    </xdr:from>
    <xdr:to>
      <xdr:col>3</xdr:col>
      <xdr:colOff>1064559</xdr:colOff>
      <xdr:row>22</xdr:row>
      <xdr:rowOff>1042147</xdr:rowOff>
    </xdr:to>
    <xdr:sp macro="" textlink="">
      <xdr:nvSpPr>
        <xdr:cNvPr id="84" name="Овал 83"/>
        <xdr:cNvSpPr/>
      </xdr:nvSpPr>
      <xdr:spPr>
        <a:xfrm>
          <a:off x="2013697" y="28756535"/>
          <a:ext cx="593912" cy="593912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476250</xdr:colOff>
      <xdr:row>22</xdr:row>
      <xdr:rowOff>827942</xdr:rowOff>
    </xdr:from>
    <xdr:to>
      <xdr:col>3</xdr:col>
      <xdr:colOff>630115</xdr:colOff>
      <xdr:row>22</xdr:row>
      <xdr:rowOff>1450731</xdr:rowOff>
    </xdr:to>
    <xdr:sp macro="" textlink="">
      <xdr:nvSpPr>
        <xdr:cNvPr id="85" name="Полилиния 84"/>
        <xdr:cNvSpPr/>
      </xdr:nvSpPr>
      <xdr:spPr>
        <a:xfrm>
          <a:off x="2019300" y="29136242"/>
          <a:ext cx="153865" cy="622789"/>
        </a:xfrm>
        <a:custGeom>
          <a:avLst/>
          <a:gdLst>
            <a:gd name="connsiteX0" fmla="*/ 153865 w 153865"/>
            <a:gd name="connsiteY0" fmla="*/ 622789 h 622789"/>
            <a:gd name="connsiteX1" fmla="*/ 117231 w 153865"/>
            <a:gd name="connsiteY1" fmla="*/ 278423 h 622789"/>
            <a:gd name="connsiteX2" fmla="*/ 0 w 153865"/>
            <a:gd name="connsiteY2" fmla="*/ 0 h 6227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3865" h="622789">
              <a:moveTo>
                <a:pt x="153865" y="622789"/>
              </a:moveTo>
              <a:cubicBezTo>
                <a:pt x="148370" y="502505"/>
                <a:pt x="142875" y="382221"/>
                <a:pt x="117231" y="278423"/>
              </a:cubicBezTo>
              <a:cubicBezTo>
                <a:pt x="91587" y="174625"/>
                <a:pt x="45793" y="87312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637442</xdr:colOff>
      <xdr:row>22</xdr:row>
      <xdr:rowOff>723534</xdr:rowOff>
    </xdr:from>
    <xdr:to>
      <xdr:col>3</xdr:col>
      <xdr:colOff>1392574</xdr:colOff>
      <xdr:row>22</xdr:row>
      <xdr:rowOff>1421423</xdr:rowOff>
    </xdr:to>
    <xdr:sp macro="" textlink="">
      <xdr:nvSpPr>
        <xdr:cNvPr id="86" name="Полилиния 85"/>
        <xdr:cNvSpPr/>
      </xdr:nvSpPr>
      <xdr:spPr>
        <a:xfrm>
          <a:off x="2180492" y="29031834"/>
          <a:ext cx="755132" cy="697889"/>
        </a:xfrm>
        <a:custGeom>
          <a:avLst/>
          <a:gdLst>
            <a:gd name="connsiteX0" fmla="*/ 0 w 725366"/>
            <a:gd name="connsiteY0" fmla="*/ 674077 h 674077"/>
            <a:gd name="connsiteX1" fmla="*/ 278423 w 725366"/>
            <a:gd name="connsiteY1" fmla="*/ 263769 h 674077"/>
            <a:gd name="connsiteX2" fmla="*/ 725366 w 725366"/>
            <a:gd name="connsiteY2" fmla="*/ 0 h 674077"/>
            <a:gd name="connsiteX0" fmla="*/ 0 w 755132"/>
            <a:gd name="connsiteY0" fmla="*/ 697889 h 697889"/>
            <a:gd name="connsiteX1" fmla="*/ 278423 w 755132"/>
            <a:gd name="connsiteY1" fmla="*/ 287581 h 697889"/>
            <a:gd name="connsiteX2" fmla="*/ 755132 w 755132"/>
            <a:gd name="connsiteY2" fmla="*/ 0 h 6978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55132" h="697889">
              <a:moveTo>
                <a:pt x="0" y="697889"/>
              </a:moveTo>
              <a:cubicBezTo>
                <a:pt x="78764" y="548908"/>
                <a:pt x="152568" y="403896"/>
                <a:pt x="278423" y="287581"/>
              </a:cubicBezTo>
              <a:cubicBezTo>
                <a:pt x="404278" y="171266"/>
                <a:pt x="592107" y="75711"/>
                <a:pt x="755132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527538</xdr:colOff>
      <xdr:row>22</xdr:row>
      <xdr:rowOff>915865</xdr:rowOff>
    </xdr:from>
    <xdr:to>
      <xdr:col>3</xdr:col>
      <xdr:colOff>1033096</xdr:colOff>
      <xdr:row>22</xdr:row>
      <xdr:rowOff>1436077</xdr:rowOff>
    </xdr:to>
    <xdr:sp macro="" textlink="">
      <xdr:nvSpPr>
        <xdr:cNvPr id="87" name="Полилиния 86"/>
        <xdr:cNvSpPr/>
      </xdr:nvSpPr>
      <xdr:spPr>
        <a:xfrm>
          <a:off x="2070588" y="29224165"/>
          <a:ext cx="505558" cy="520212"/>
        </a:xfrm>
        <a:custGeom>
          <a:avLst/>
          <a:gdLst>
            <a:gd name="connsiteX0" fmla="*/ 0 w 505558"/>
            <a:gd name="connsiteY0" fmla="*/ 0 h 520212"/>
            <a:gd name="connsiteX1" fmla="*/ 359020 w 505558"/>
            <a:gd name="connsiteY1" fmla="*/ 344366 h 520212"/>
            <a:gd name="connsiteX2" fmla="*/ 505558 w 505558"/>
            <a:gd name="connsiteY2" fmla="*/ 520212 h 5202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5558" h="520212">
              <a:moveTo>
                <a:pt x="0" y="0"/>
              </a:moveTo>
              <a:cubicBezTo>
                <a:pt x="137380" y="128832"/>
                <a:pt x="274760" y="257664"/>
                <a:pt x="359020" y="344366"/>
              </a:cubicBezTo>
              <a:cubicBezTo>
                <a:pt x="443280" y="431068"/>
                <a:pt x="474419" y="475640"/>
                <a:pt x="505558" y="52021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986100</xdr:colOff>
      <xdr:row>22</xdr:row>
      <xdr:rowOff>952500</xdr:rowOff>
    </xdr:from>
    <xdr:to>
      <xdr:col>3</xdr:col>
      <xdr:colOff>1040423</xdr:colOff>
      <xdr:row>22</xdr:row>
      <xdr:rowOff>1443404</xdr:rowOff>
    </xdr:to>
    <xdr:sp macro="" textlink="">
      <xdr:nvSpPr>
        <xdr:cNvPr id="88" name="Полилиния 87"/>
        <xdr:cNvSpPr/>
      </xdr:nvSpPr>
      <xdr:spPr>
        <a:xfrm>
          <a:off x="2529150" y="29260800"/>
          <a:ext cx="54323" cy="490904"/>
        </a:xfrm>
        <a:custGeom>
          <a:avLst/>
          <a:gdLst>
            <a:gd name="connsiteX0" fmla="*/ 10361 w 54323"/>
            <a:gd name="connsiteY0" fmla="*/ 0 h 490904"/>
            <a:gd name="connsiteX1" fmla="*/ 3034 w 54323"/>
            <a:gd name="connsiteY1" fmla="*/ 285750 h 490904"/>
            <a:gd name="connsiteX2" fmla="*/ 54323 w 54323"/>
            <a:gd name="connsiteY2" fmla="*/ 490904 h 4909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23" h="490904">
              <a:moveTo>
                <a:pt x="10361" y="0"/>
              </a:moveTo>
              <a:cubicBezTo>
                <a:pt x="3034" y="101966"/>
                <a:pt x="-4293" y="203933"/>
                <a:pt x="3034" y="285750"/>
              </a:cubicBezTo>
              <a:cubicBezTo>
                <a:pt x="10361" y="367567"/>
                <a:pt x="32342" y="429235"/>
                <a:pt x="54323" y="49090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546315</xdr:colOff>
      <xdr:row>22</xdr:row>
      <xdr:rowOff>184546</xdr:rowOff>
    </xdr:from>
    <xdr:to>
      <xdr:col>3</xdr:col>
      <xdr:colOff>720329</xdr:colOff>
      <xdr:row>22</xdr:row>
      <xdr:rowOff>553639</xdr:rowOff>
    </xdr:to>
    <xdr:sp macro="" textlink="">
      <xdr:nvSpPr>
        <xdr:cNvPr id="89" name="Полилиния 88"/>
        <xdr:cNvSpPr/>
      </xdr:nvSpPr>
      <xdr:spPr>
        <a:xfrm>
          <a:off x="2089365" y="28492846"/>
          <a:ext cx="174014" cy="369093"/>
        </a:xfrm>
        <a:custGeom>
          <a:avLst/>
          <a:gdLst>
            <a:gd name="connsiteX0" fmla="*/ 0 w 161192"/>
            <a:gd name="connsiteY0" fmla="*/ 534866 h 534866"/>
            <a:gd name="connsiteX1" fmla="*/ 117231 w 161192"/>
            <a:gd name="connsiteY1" fmla="*/ 278423 h 534866"/>
            <a:gd name="connsiteX2" fmla="*/ 161192 w 161192"/>
            <a:gd name="connsiteY2" fmla="*/ 0 h 534866"/>
            <a:gd name="connsiteX0" fmla="*/ 0 w 286091"/>
            <a:gd name="connsiteY0" fmla="*/ 570054 h 570054"/>
            <a:gd name="connsiteX1" fmla="*/ 117231 w 286091"/>
            <a:gd name="connsiteY1" fmla="*/ 313611 h 570054"/>
            <a:gd name="connsiteX2" fmla="*/ 286091 w 286091"/>
            <a:gd name="connsiteY2" fmla="*/ 0 h 570054"/>
            <a:gd name="connsiteX0" fmla="*/ 0 w 286091"/>
            <a:gd name="connsiteY0" fmla="*/ 570054 h 570054"/>
            <a:gd name="connsiteX1" fmla="*/ 221311 w 286091"/>
            <a:gd name="connsiteY1" fmla="*/ 222120 h 570054"/>
            <a:gd name="connsiteX2" fmla="*/ 286091 w 286091"/>
            <a:gd name="connsiteY2" fmla="*/ 0 h 570054"/>
            <a:gd name="connsiteX0" fmla="*/ 0 w 202825"/>
            <a:gd name="connsiteY0" fmla="*/ 436337 h 436337"/>
            <a:gd name="connsiteX1" fmla="*/ 138045 w 202825"/>
            <a:gd name="connsiteY1" fmla="*/ 222120 h 436337"/>
            <a:gd name="connsiteX2" fmla="*/ 202825 w 202825"/>
            <a:gd name="connsiteY2" fmla="*/ 0 h 436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2825" h="436337">
              <a:moveTo>
                <a:pt x="0" y="436337"/>
              </a:moveTo>
              <a:cubicBezTo>
                <a:pt x="45183" y="352687"/>
                <a:pt x="111180" y="311264"/>
                <a:pt x="138045" y="222120"/>
              </a:cubicBezTo>
              <a:cubicBezTo>
                <a:pt x="164910" y="132976"/>
                <a:pt x="194277" y="94639"/>
                <a:pt x="20282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702463</xdr:colOff>
      <xdr:row>22</xdr:row>
      <xdr:rowOff>34803</xdr:rowOff>
    </xdr:from>
    <xdr:to>
      <xdr:col>3</xdr:col>
      <xdr:colOff>1380209</xdr:colOff>
      <xdr:row>22</xdr:row>
      <xdr:rowOff>719412</xdr:rowOff>
    </xdr:to>
    <xdr:sp macro="" textlink="">
      <xdr:nvSpPr>
        <xdr:cNvPr id="90" name="Полилиния 89"/>
        <xdr:cNvSpPr/>
      </xdr:nvSpPr>
      <xdr:spPr>
        <a:xfrm>
          <a:off x="2245513" y="28343103"/>
          <a:ext cx="677746" cy="684609"/>
        </a:xfrm>
        <a:custGeom>
          <a:avLst/>
          <a:gdLst>
            <a:gd name="connsiteX0" fmla="*/ 0 w 791307"/>
            <a:gd name="connsiteY0" fmla="*/ 0 h 864577"/>
            <a:gd name="connsiteX1" fmla="*/ 65942 w 791307"/>
            <a:gd name="connsiteY1" fmla="*/ 293077 h 864577"/>
            <a:gd name="connsiteX2" fmla="*/ 351692 w 791307"/>
            <a:gd name="connsiteY2" fmla="*/ 644769 h 864577"/>
            <a:gd name="connsiteX3" fmla="*/ 791307 w 791307"/>
            <a:gd name="connsiteY3" fmla="*/ 864577 h 864577"/>
            <a:gd name="connsiteX0" fmla="*/ 0 w 725365"/>
            <a:gd name="connsiteY0" fmla="*/ 0 h 571500"/>
            <a:gd name="connsiteX1" fmla="*/ 285750 w 725365"/>
            <a:gd name="connsiteY1" fmla="*/ 351692 h 571500"/>
            <a:gd name="connsiteX2" fmla="*/ 725365 w 725365"/>
            <a:gd name="connsiteY2" fmla="*/ 571500 h 571500"/>
            <a:gd name="connsiteX0" fmla="*/ 0 w 761083"/>
            <a:gd name="connsiteY0" fmla="*/ 0 h 660797"/>
            <a:gd name="connsiteX1" fmla="*/ 321468 w 761083"/>
            <a:gd name="connsiteY1" fmla="*/ 440989 h 660797"/>
            <a:gd name="connsiteX2" fmla="*/ 761083 w 761083"/>
            <a:gd name="connsiteY2" fmla="*/ 660797 h 660797"/>
            <a:gd name="connsiteX0" fmla="*/ 0 w 749177"/>
            <a:gd name="connsiteY0" fmla="*/ 0 h 607219"/>
            <a:gd name="connsiteX1" fmla="*/ 309562 w 749177"/>
            <a:gd name="connsiteY1" fmla="*/ 387411 h 607219"/>
            <a:gd name="connsiteX2" fmla="*/ 749177 w 749177"/>
            <a:gd name="connsiteY2" fmla="*/ 607219 h 607219"/>
            <a:gd name="connsiteX0" fmla="*/ 0 w 767037"/>
            <a:gd name="connsiteY0" fmla="*/ 0 h 672703"/>
            <a:gd name="connsiteX1" fmla="*/ 327422 w 767037"/>
            <a:gd name="connsiteY1" fmla="*/ 452895 h 672703"/>
            <a:gd name="connsiteX2" fmla="*/ 767037 w 767037"/>
            <a:gd name="connsiteY2" fmla="*/ 672703 h 672703"/>
            <a:gd name="connsiteX0" fmla="*/ 0 w 677741"/>
            <a:gd name="connsiteY0" fmla="*/ 0 h 684609"/>
            <a:gd name="connsiteX1" fmla="*/ 238126 w 677741"/>
            <a:gd name="connsiteY1" fmla="*/ 464801 h 684609"/>
            <a:gd name="connsiteX2" fmla="*/ 677741 w 677741"/>
            <a:gd name="connsiteY2" fmla="*/ 684609 h 684609"/>
            <a:gd name="connsiteX0" fmla="*/ 5 w 677746"/>
            <a:gd name="connsiteY0" fmla="*/ 0 h 684609"/>
            <a:gd name="connsiteX1" fmla="*/ 238131 w 677746"/>
            <a:gd name="connsiteY1" fmla="*/ 464801 h 684609"/>
            <a:gd name="connsiteX2" fmla="*/ 677746 w 677746"/>
            <a:gd name="connsiteY2" fmla="*/ 684609 h 6846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7746" h="684609">
              <a:moveTo>
                <a:pt x="5" y="0"/>
              </a:moveTo>
              <a:cubicBezTo>
                <a:pt x="-912" y="226524"/>
                <a:pt x="110292" y="352684"/>
                <a:pt x="238131" y="464801"/>
              </a:cubicBezTo>
              <a:cubicBezTo>
                <a:pt x="365970" y="576918"/>
                <a:pt x="518385" y="622330"/>
                <a:pt x="677746" y="684609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596219</xdr:colOff>
      <xdr:row>22</xdr:row>
      <xdr:rowOff>1397212</xdr:rowOff>
    </xdr:from>
    <xdr:to>
      <xdr:col>3</xdr:col>
      <xdr:colOff>668219</xdr:colOff>
      <xdr:row>22</xdr:row>
      <xdr:rowOff>1469212</xdr:rowOff>
    </xdr:to>
    <xdr:sp macro="" textlink="">
      <xdr:nvSpPr>
        <xdr:cNvPr id="91" name="Овал 9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139269" y="2970551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419100</xdr:colOff>
      <xdr:row>22</xdr:row>
      <xdr:rowOff>718457</xdr:rowOff>
    </xdr:from>
    <xdr:to>
      <xdr:col>3</xdr:col>
      <xdr:colOff>517072</xdr:colOff>
      <xdr:row>22</xdr:row>
      <xdr:rowOff>800100</xdr:rowOff>
    </xdr:to>
    <xdr:sp macro="" textlink="">
      <xdr:nvSpPr>
        <xdr:cNvPr id="92" name="Прямоугольник 91"/>
        <xdr:cNvSpPr/>
      </xdr:nvSpPr>
      <xdr:spPr>
        <a:xfrm>
          <a:off x="1962150" y="29026757"/>
          <a:ext cx="97972" cy="81643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96779</xdr:colOff>
      <xdr:row>20</xdr:row>
      <xdr:rowOff>511396</xdr:rowOff>
    </xdr:from>
    <xdr:to>
      <xdr:col>3</xdr:col>
      <xdr:colOff>1452481</xdr:colOff>
      <xdr:row>20</xdr:row>
      <xdr:rowOff>852982</xdr:rowOff>
    </xdr:to>
    <xdr:cxnSp macro="">
      <xdr:nvCxnSpPr>
        <xdr:cNvPr id="93" name="Прямая со стрелкой 9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39829" y="25771696"/>
          <a:ext cx="1355702" cy="341586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726115</xdr:colOff>
      <xdr:row>20</xdr:row>
      <xdr:rowOff>1303112</xdr:rowOff>
    </xdr:from>
    <xdr:to>
      <xdr:col>3</xdr:col>
      <xdr:colOff>798115</xdr:colOff>
      <xdr:row>20</xdr:row>
      <xdr:rowOff>1375112</xdr:rowOff>
    </xdr:to>
    <xdr:sp macro="" textlink="">
      <xdr:nvSpPr>
        <xdr:cNvPr id="94" name="Овал 9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269165" y="2656341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754064</xdr:colOff>
      <xdr:row>20</xdr:row>
      <xdr:rowOff>686273</xdr:rowOff>
    </xdr:from>
    <xdr:to>
      <xdr:col>3</xdr:col>
      <xdr:colOff>781729</xdr:colOff>
      <xdr:row>20</xdr:row>
      <xdr:rowOff>1343613</xdr:rowOff>
    </xdr:to>
    <xdr:cxnSp macro="">
      <xdr:nvCxnSpPr>
        <xdr:cNvPr id="95" name="Прямая со стрелкой 9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>
          <a:off x="2297114" y="25946573"/>
          <a:ext cx="27665" cy="657340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689803</xdr:colOff>
      <xdr:row>23</xdr:row>
      <xdr:rowOff>1397318</xdr:rowOff>
    </xdr:from>
    <xdr:to>
      <xdr:col>3</xdr:col>
      <xdr:colOff>761803</xdr:colOff>
      <xdr:row>23</xdr:row>
      <xdr:rowOff>1469318</xdr:rowOff>
    </xdr:to>
    <xdr:sp macro="" textlink="">
      <xdr:nvSpPr>
        <xdr:cNvPr id="96" name="Овал 9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5540179">
          <a:off x="2232853" y="3122961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746356</xdr:colOff>
      <xdr:row>23</xdr:row>
      <xdr:rowOff>808363</xdr:rowOff>
    </xdr:from>
    <xdr:to>
      <xdr:col>3</xdr:col>
      <xdr:colOff>1073437</xdr:colOff>
      <xdr:row>23</xdr:row>
      <xdr:rowOff>900156</xdr:rowOff>
    </xdr:to>
    <xdr:cxnSp macro="">
      <xdr:nvCxnSpPr>
        <xdr:cNvPr id="97" name="Прямая со стрелкой 9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5374054" flipV="1">
          <a:off x="2407050" y="30523019"/>
          <a:ext cx="91793" cy="327081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728599</xdr:colOff>
      <xdr:row>23</xdr:row>
      <xdr:rowOff>681381</xdr:rowOff>
    </xdr:from>
    <xdr:to>
      <xdr:col>3</xdr:col>
      <xdr:colOff>1385939</xdr:colOff>
      <xdr:row>23</xdr:row>
      <xdr:rowOff>709046</xdr:rowOff>
    </xdr:to>
    <xdr:cxnSp macro="">
      <xdr:nvCxnSpPr>
        <xdr:cNvPr id="98" name="Прямая со стрелкой 9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5540179">
          <a:off x="2586486" y="30198844"/>
          <a:ext cx="27665" cy="657340"/>
        </a:xfrm>
        <a:prstGeom prst="straightConnector1">
          <a:avLst/>
        </a:prstGeom>
        <a:ln w="19050">
          <a:prstDash val="solid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689802</xdr:colOff>
      <xdr:row>24</xdr:row>
      <xdr:rowOff>1383711</xdr:rowOff>
    </xdr:from>
    <xdr:to>
      <xdr:col>3</xdr:col>
      <xdr:colOff>761802</xdr:colOff>
      <xdr:row>24</xdr:row>
      <xdr:rowOff>1455711</xdr:rowOff>
    </xdr:to>
    <xdr:sp macro="" textlink="">
      <xdr:nvSpPr>
        <xdr:cNvPr id="99" name="Овал 9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5540179">
          <a:off x="2232852" y="3274001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959069</xdr:colOff>
      <xdr:row>24</xdr:row>
      <xdr:rowOff>375557</xdr:rowOff>
    </xdr:from>
    <xdr:to>
      <xdr:col>3</xdr:col>
      <xdr:colOff>1176784</xdr:colOff>
      <xdr:row>24</xdr:row>
      <xdr:rowOff>647193</xdr:rowOff>
    </xdr:to>
    <xdr:cxnSp macro="">
      <xdr:nvCxnSpPr>
        <xdr:cNvPr id="100" name="Прямая со стрелкой 9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502119" y="31731857"/>
          <a:ext cx="217715" cy="271636"/>
        </a:xfrm>
        <a:prstGeom prst="straightConnector1">
          <a:avLst/>
        </a:prstGeom>
        <a:ln w="19050">
          <a:prstDash val="sysDot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386286</xdr:colOff>
      <xdr:row>25</xdr:row>
      <xdr:rowOff>142213</xdr:rowOff>
    </xdr:from>
    <xdr:to>
      <xdr:col>3</xdr:col>
      <xdr:colOff>945587</xdr:colOff>
      <xdr:row>25</xdr:row>
      <xdr:rowOff>1205784</xdr:rowOff>
    </xdr:to>
    <xdr:sp macro="" textlink="">
      <xdr:nvSpPr>
        <xdr:cNvPr id="101" name="Полилиния 100"/>
        <xdr:cNvSpPr/>
      </xdr:nvSpPr>
      <xdr:spPr>
        <a:xfrm rot="12364779">
          <a:off x="1929336" y="33022513"/>
          <a:ext cx="559301" cy="1063571"/>
        </a:xfrm>
        <a:custGeom>
          <a:avLst/>
          <a:gdLst>
            <a:gd name="connsiteX0" fmla="*/ 0 w 152400"/>
            <a:gd name="connsiteY0" fmla="*/ 1257300 h 1257300"/>
            <a:gd name="connsiteX1" fmla="*/ 38100 w 152400"/>
            <a:gd name="connsiteY1" fmla="*/ 704850 h 1257300"/>
            <a:gd name="connsiteX2" fmla="*/ 152400 w 152400"/>
            <a:gd name="connsiteY2" fmla="*/ 0 h 1257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2400" h="1257300">
              <a:moveTo>
                <a:pt x="0" y="1257300"/>
              </a:moveTo>
              <a:cubicBezTo>
                <a:pt x="6350" y="1085850"/>
                <a:pt x="12700" y="914400"/>
                <a:pt x="38100" y="704850"/>
              </a:cubicBezTo>
              <a:cubicBezTo>
                <a:pt x="63500" y="495300"/>
                <a:pt x="128588" y="141287"/>
                <a:pt x="152400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715101</xdr:colOff>
      <xdr:row>25</xdr:row>
      <xdr:rowOff>623736</xdr:rowOff>
    </xdr:from>
    <xdr:to>
      <xdr:col>3</xdr:col>
      <xdr:colOff>972276</xdr:colOff>
      <xdr:row>25</xdr:row>
      <xdr:rowOff>1338111</xdr:rowOff>
    </xdr:to>
    <xdr:sp macro="" textlink="">
      <xdr:nvSpPr>
        <xdr:cNvPr id="102" name="Полилиния 101"/>
        <xdr:cNvSpPr/>
      </xdr:nvSpPr>
      <xdr:spPr>
        <a:xfrm rot="12364779">
          <a:off x="2258151" y="33504036"/>
          <a:ext cx="257175" cy="714375"/>
        </a:xfrm>
        <a:custGeom>
          <a:avLst/>
          <a:gdLst>
            <a:gd name="connsiteX0" fmla="*/ 0 w 257175"/>
            <a:gd name="connsiteY0" fmla="*/ 0 h 714375"/>
            <a:gd name="connsiteX1" fmla="*/ 123825 w 257175"/>
            <a:gd name="connsiteY1" fmla="*/ 276225 h 714375"/>
            <a:gd name="connsiteX2" fmla="*/ 257175 w 257175"/>
            <a:gd name="connsiteY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175" h="714375">
              <a:moveTo>
                <a:pt x="0" y="0"/>
              </a:moveTo>
              <a:cubicBezTo>
                <a:pt x="40481" y="78581"/>
                <a:pt x="80963" y="157163"/>
                <a:pt x="123825" y="276225"/>
              </a:cubicBezTo>
              <a:cubicBezTo>
                <a:pt x="166688" y="395288"/>
                <a:pt x="211931" y="554831"/>
                <a:pt x="257175" y="714375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771181</xdr:colOff>
      <xdr:row>25</xdr:row>
      <xdr:rowOff>1315998</xdr:rowOff>
    </xdr:from>
    <xdr:to>
      <xdr:col>3</xdr:col>
      <xdr:colOff>843181</xdr:colOff>
      <xdr:row>25</xdr:row>
      <xdr:rowOff>1387998</xdr:rowOff>
    </xdr:to>
    <xdr:sp macro="" textlink="">
      <xdr:nvSpPr>
        <xdr:cNvPr id="103" name="Овал 10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2530904">
          <a:off x="2314231" y="3419629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563520</xdr:colOff>
      <xdr:row>25</xdr:row>
      <xdr:rowOff>796123</xdr:rowOff>
    </xdr:from>
    <xdr:to>
      <xdr:col>3</xdr:col>
      <xdr:colOff>864283</xdr:colOff>
      <xdr:row>25</xdr:row>
      <xdr:rowOff>951666</xdr:rowOff>
    </xdr:to>
    <xdr:sp macro="" textlink="">
      <xdr:nvSpPr>
        <xdr:cNvPr id="104" name="Полилиния 103"/>
        <xdr:cNvSpPr/>
      </xdr:nvSpPr>
      <xdr:spPr>
        <a:xfrm rot="12364779">
          <a:off x="2106570" y="33676423"/>
          <a:ext cx="300763" cy="155543"/>
        </a:xfrm>
        <a:custGeom>
          <a:avLst/>
          <a:gdLst>
            <a:gd name="connsiteX0" fmla="*/ 0 w 216776"/>
            <a:gd name="connsiteY0" fmla="*/ 0 h 154623"/>
            <a:gd name="connsiteX1" fmla="*/ 111673 w 216776"/>
            <a:gd name="connsiteY1" fmla="*/ 151087 h 154623"/>
            <a:gd name="connsiteX2" fmla="*/ 216776 w 216776"/>
            <a:gd name="connsiteY2" fmla="*/ 91966 h 154623"/>
            <a:gd name="connsiteX0" fmla="*/ 0 w 221422"/>
            <a:gd name="connsiteY0" fmla="*/ 0 h 151396"/>
            <a:gd name="connsiteX1" fmla="*/ 111673 w 221422"/>
            <a:gd name="connsiteY1" fmla="*/ 151087 h 151396"/>
            <a:gd name="connsiteX2" fmla="*/ 221422 w 221422"/>
            <a:gd name="connsiteY2" fmla="*/ 36210 h 151396"/>
            <a:gd name="connsiteX0" fmla="*/ 0 w 221422"/>
            <a:gd name="connsiteY0" fmla="*/ 0 h 155355"/>
            <a:gd name="connsiteX1" fmla="*/ 111673 w 221422"/>
            <a:gd name="connsiteY1" fmla="*/ 151087 h 155355"/>
            <a:gd name="connsiteX2" fmla="*/ 221422 w 221422"/>
            <a:gd name="connsiteY2" fmla="*/ 36210 h 155355"/>
            <a:gd name="connsiteX0" fmla="*/ 0 w 221422"/>
            <a:gd name="connsiteY0" fmla="*/ 0 h 156169"/>
            <a:gd name="connsiteX1" fmla="*/ 111673 w 221422"/>
            <a:gd name="connsiteY1" fmla="*/ 151087 h 156169"/>
            <a:gd name="connsiteX2" fmla="*/ 221422 w 221422"/>
            <a:gd name="connsiteY2" fmla="*/ 36210 h 156169"/>
            <a:gd name="connsiteX0" fmla="*/ 0 w 300763"/>
            <a:gd name="connsiteY0" fmla="*/ 0 h 155543"/>
            <a:gd name="connsiteX1" fmla="*/ 111673 w 300763"/>
            <a:gd name="connsiteY1" fmla="*/ 151087 h 155543"/>
            <a:gd name="connsiteX2" fmla="*/ 300763 w 300763"/>
            <a:gd name="connsiteY2" fmla="*/ 33944 h 1555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0763" h="155543">
              <a:moveTo>
                <a:pt x="0" y="0"/>
              </a:moveTo>
              <a:cubicBezTo>
                <a:pt x="37772" y="67879"/>
                <a:pt x="61546" y="145430"/>
                <a:pt x="111673" y="151087"/>
              </a:cubicBezTo>
              <a:cubicBezTo>
                <a:pt x="161800" y="156744"/>
                <a:pt x="229105" y="178034"/>
                <a:pt x="300763" y="33944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627557</xdr:colOff>
      <xdr:row>7</xdr:row>
      <xdr:rowOff>257120</xdr:rowOff>
    </xdr:from>
    <xdr:to>
      <xdr:col>3</xdr:col>
      <xdr:colOff>1186858</xdr:colOff>
      <xdr:row>7</xdr:row>
      <xdr:rowOff>1320691</xdr:rowOff>
    </xdr:to>
    <xdr:sp macro="" textlink="">
      <xdr:nvSpPr>
        <xdr:cNvPr id="105" name="Полилиния 104"/>
        <xdr:cNvSpPr/>
      </xdr:nvSpPr>
      <xdr:spPr>
        <a:xfrm rot="20999567">
          <a:off x="2170607" y="5705420"/>
          <a:ext cx="559301" cy="1063571"/>
        </a:xfrm>
        <a:custGeom>
          <a:avLst/>
          <a:gdLst>
            <a:gd name="connsiteX0" fmla="*/ 0 w 152400"/>
            <a:gd name="connsiteY0" fmla="*/ 1257300 h 1257300"/>
            <a:gd name="connsiteX1" fmla="*/ 38100 w 152400"/>
            <a:gd name="connsiteY1" fmla="*/ 704850 h 1257300"/>
            <a:gd name="connsiteX2" fmla="*/ 152400 w 152400"/>
            <a:gd name="connsiteY2" fmla="*/ 0 h 1257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2400" h="1257300">
              <a:moveTo>
                <a:pt x="0" y="1257300"/>
              </a:moveTo>
              <a:cubicBezTo>
                <a:pt x="6350" y="1085850"/>
                <a:pt x="12700" y="914400"/>
                <a:pt x="38100" y="704850"/>
              </a:cubicBezTo>
              <a:cubicBezTo>
                <a:pt x="63500" y="495300"/>
                <a:pt x="128588" y="141287"/>
                <a:pt x="152400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451520</xdr:colOff>
      <xdr:row>7</xdr:row>
      <xdr:rowOff>296079</xdr:rowOff>
    </xdr:from>
    <xdr:to>
      <xdr:col>3</xdr:col>
      <xdr:colOff>708695</xdr:colOff>
      <xdr:row>7</xdr:row>
      <xdr:rowOff>1010454</xdr:rowOff>
    </xdr:to>
    <xdr:sp macro="" textlink="">
      <xdr:nvSpPr>
        <xdr:cNvPr id="106" name="Полилиния 105"/>
        <xdr:cNvSpPr/>
      </xdr:nvSpPr>
      <xdr:spPr>
        <a:xfrm rot="20999567">
          <a:off x="1994570" y="5744379"/>
          <a:ext cx="257175" cy="714375"/>
        </a:xfrm>
        <a:custGeom>
          <a:avLst/>
          <a:gdLst>
            <a:gd name="connsiteX0" fmla="*/ 0 w 257175"/>
            <a:gd name="connsiteY0" fmla="*/ 0 h 714375"/>
            <a:gd name="connsiteX1" fmla="*/ 123825 w 257175"/>
            <a:gd name="connsiteY1" fmla="*/ 276225 h 714375"/>
            <a:gd name="connsiteX2" fmla="*/ 257175 w 257175"/>
            <a:gd name="connsiteY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175" h="714375">
              <a:moveTo>
                <a:pt x="0" y="0"/>
              </a:moveTo>
              <a:cubicBezTo>
                <a:pt x="40481" y="78581"/>
                <a:pt x="80963" y="157163"/>
                <a:pt x="123825" y="276225"/>
              </a:cubicBezTo>
              <a:cubicBezTo>
                <a:pt x="166688" y="395288"/>
                <a:pt x="211931" y="554831"/>
                <a:pt x="257175" y="714375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681614</xdr:colOff>
      <xdr:row>7</xdr:row>
      <xdr:rowOff>1324708</xdr:rowOff>
    </xdr:from>
    <xdr:to>
      <xdr:col>3</xdr:col>
      <xdr:colOff>753614</xdr:colOff>
      <xdr:row>7</xdr:row>
      <xdr:rowOff>1396708</xdr:rowOff>
    </xdr:to>
    <xdr:sp macro="" textlink="">
      <xdr:nvSpPr>
        <xdr:cNvPr id="107" name="Овал 10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21165692">
          <a:off x="2224664" y="677300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595564</xdr:colOff>
      <xdr:row>7</xdr:row>
      <xdr:rowOff>590567</xdr:rowOff>
    </xdr:from>
    <xdr:to>
      <xdr:col>3</xdr:col>
      <xdr:colOff>896327</xdr:colOff>
      <xdr:row>7</xdr:row>
      <xdr:rowOff>746110</xdr:rowOff>
    </xdr:to>
    <xdr:sp macro="" textlink="">
      <xdr:nvSpPr>
        <xdr:cNvPr id="108" name="Полилиния 107"/>
        <xdr:cNvSpPr/>
      </xdr:nvSpPr>
      <xdr:spPr>
        <a:xfrm rot="20999567">
          <a:off x="2138614" y="6038867"/>
          <a:ext cx="300763" cy="155543"/>
        </a:xfrm>
        <a:custGeom>
          <a:avLst/>
          <a:gdLst>
            <a:gd name="connsiteX0" fmla="*/ 0 w 216776"/>
            <a:gd name="connsiteY0" fmla="*/ 0 h 154623"/>
            <a:gd name="connsiteX1" fmla="*/ 111673 w 216776"/>
            <a:gd name="connsiteY1" fmla="*/ 151087 h 154623"/>
            <a:gd name="connsiteX2" fmla="*/ 216776 w 216776"/>
            <a:gd name="connsiteY2" fmla="*/ 91966 h 154623"/>
            <a:gd name="connsiteX0" fmla="*/ 0 w 221422"/>
            <a:gd name="connsiteY0" fmla="*/ 0 h 151396"/>
            <a:gd name="connsiteX1" fmla="*/ 111673 w 221422"/>
            <a:gd name="connsiteY1" fmla="*/ 151087 h 151396"/>
            <a:gd name="connsiteX2" fmla="*/ 221422 w 221422"/>
            <a:gd name="connsiteY2" fmla="*/ 36210 h 151396"/>
            <a:gd name="connsiteX0" fmla="*/ 0 w 221422"/>
            <a:gd name="connsiteY0" fmla="*/ 0 h 155355"/>
            <a:gd name="connsiteX1" fmla="*/ 111673 w 221422"/>
            <a:gd name="connsiteY1" fmla="*/ 151087 h 155355"/>
            <a:gd name="connsiteX2" fmla="*/ 221422 w 221422"/>
            <a:gd name="connsiteY2" fmla="*/ 36210 h 155355"/>
            <a:gd name="connsiteX0" fmla="*/ 0 w 221422"/>
            <a:gd name="connsiteY0" fmla="*/ 0 h 156169"/>
            <a:gd name="connsiteX1" fmla="*/ 111673 w 221422"/>
            <a:gd name="connsiteY1" fmla="*/ 151087 h 156169"/>
            <a:gd name="connsiteX2" fmla="*/ 221422 w 221422"/>
            <a:gd name="connsiteY2" fmla="*/ 36210 h 156169"/>
            <a:gd name="connsiteX0" fmla="*/ 0 w 300763"/>
            <a:gd name="connsiteY0" fmla="*/ 0 h 155543"/>
            <a:gd name="connsiteX1" fmla="*/ 111673 w 300763"/>
            <a:gd name="connsiteY1" fmla="*/ 151087 h 155543"/>
            <a:gd name="connsiteX2" fmla="*/ 300763 w 300763"/>
            <a:gd name="connsiteY2" fmla="*/ 33944 h 1555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0763" h="155543">
              <a:moveTo>
                <a:pt x="0" y="0"/>
              </a:moveTo>
              <a:cubicBezTo>
                <a:pt x="37772" y="67879"/>
                <a:pt x="61546" y="145430"/>
                <a:pt x="111673" y="151087"/>
              </a:cubicBezTo>
              <a:cubicBezTo>
                <a:pt x="161800" y="156744"/>
                <a:pt x="229105" y="178034"/>
                <a:pt x="300763" y="33944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119061</xdr:colOff>
      <xdr:row>26</xdr:row>
      <xdr:rowOff>710283</xdr:rowOff>
    </xdr:from>
    <xdr:to>
      <xdr:col>3</xdr:col>
      <xdr:colOff>1475790</xdr:colOff>
      <xdr:row>26</xdr:row>
      <xdr:rowOff>775897</xdr:rowOff>
    </xdr:to>
    <xdr:cxnSp macro="">
      <xdr:nvCxnSpPr>
        <xdr:cNvPr id="109" name="Прямая со стрелкой 10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62111" y="35114583"/>
          <a:ext cx="1356729" cy="65614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840820</xdr:colOff>
      <xdr:row>26</xdr:row>
      <xdr:rowOff>142875</xdr:rowOff>
    </xdr:from>
    <xdr:to>
      <xdr:col>3</xdr:col>
      <xdr:colOff>948242</xdr:colOff>
      <xdr:row>26</xdr:row>
      <xdr:rowOff>723439</xdr:rowOff>
    </xdr:to>
    <xdr:cxnSp macro="">
      <xdr:nvCxnSpPr>
        <xdr:cNvPr id="110" name="Прямая со стрелкой 10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 flipH="1" flipV="1">
          <a:off x="2383870" y="34547175"/>
          <a:ext cx="107422" cy="580564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149679</xdr:colOff>
      <xdr:row>27</xdr:row>
      <xdr:rowOff>530679</xdr:rowOff>
    </xdr:from>
    <xdr:to>
      <xdr:col>3</xdr:col>
      <xdr:colOff>1509455</xdr:colOff>
      <xdr:row>27</xdr:row>
      <xdr:rowOff>872265</xdr:rowOff>
    </xdr:to>
    <xdr:cxnSp macro="">
      <xdr:nvCxnSpPr>
        <xdr:cNvPr id="111" name="Прямая со стрелкой 11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92729" y="36458979"/>
          <a:ext cx="1359776" cy="341586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779015</xdr:colOff>
      <xdr:row>27</xdr:row>
      <xdr:rowOff>1322395</xdr:rowOff>
    </xdr:from>
    <xdr:to>
      <xdr:col>3</xdr:col>
      <xdr:colOff>851015</xdr:colOff>
      <xdr:row>27</xdr:row>
      <xdr:rowOff>1394395</xdr:rowOff>
    </xdr:to>
    <xdr:sp macro="" textlink="">
      <xdr:nvSpPr>
        <xdr:cNvPr id="112" name="Овал 11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322065" y="3725069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655490</xdr:colOff>
      <xdr:row>27</xdr:row>
      <xdr:rowOff>689701</xdr:rowOff>
    </xdr:from>
    <xdr:to>
      <xdr:col>3</xdr:col>
      <xdr:colOff>747283</xdr:colOff>
      <xdr:row>27</xdr:row>
      <xdr:rowOff>1016782</xdr:rowOff>
    </xdr:to>
    <xdr:cxnSp macro="">
      <xdr:nvCxnSpPr>
        <xdr:cNvPr id="113" name="Прямая со стрелкой 11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198540" y="36618001"/>
          <a:ext cx="91793" cy="327081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806964</xdr:colOff>
      <xdr:row>27</xdr:row>
      <xdr:rowOff>705556</xdr:rowOff>
    </xdr:from>
    <xdr:to>
      <xdr:col>3</xdr:col>
      <xdr:colOff>834629</xdr:colOff>
      <xdr:row>27</xdr:row>
      <xdr:rowOff>1362896</xdr:rowOff>
    </xdr:to>
    <xdr:cxnSp macro="">
      <xdr:nvCxnSpPr>
        <xdr:cNvPr id="114" name="Прямая со стрелкой 11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>
          <a:off x="2350014" y="36633856"/>
          <a:ext cx="27665" cy="657340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506372</xdr:colOff>
      <xdr:row>28</xdr:row>
      <xdr:rowOff>493711</xdr:rowOff>
    </xdr:from>
    <xdr:to>
      <xdr:col>3</xdr:col>
      <xdr:colOff>1100284</xdr:colOff>
      <xdr:row>28</xdr:row>
      <xdr:rowOff>1087623</xdr:rowOff>
    </xdr:to>
    <xdr:sp macro="" textlink="">
      <xdr:nvSpPr>
        <xdr:cNvPr id="115" name="Овал 114"/>
        <xdr:cNvSpPr/>
      </xdr:nvSpPr>
      <xdr:spPr>
        <a:xfrm rot="11064811">
          <a:off x="2049422" y="37946011"/>
          <a:ext cx="593912" cy="593912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967425</xdr:colOff>
      <xdr:row>28</xdr:row>
      <xdr:rowOff>22706</xdr:rowOff>
    </xdr:from>
    <xdr:to>
      <xdr:col>3</xdr:col>
      <xdr:colOff>1127463</xdr:colOff>
      <xdr:row>28</xdr:row>
      <xdr:rowOff>725468</xdr:rowOff>
    </xdr:to>
    <xdr:sp macro="" textlink="">
      <xdr:nvSpPr>
        <xdr:cNvPr id="116" name="Полилиния 115"/>
        <xdr:cNvSpPr/>
      </xdr:nvSpPr>
      <xdr:spPr>
        <a:xfrm rot="11064811">
          <a:off x="2510475" y="37475006"/>
          <a:ext cx="160038" cy="702762"/>
        </a:xfrm>
        <a:custGeom>
          <a:avLst/>
          <a:gdLst>
            <a:gd name="connsiteX0" fmla="*/ 153865 w 153865"/>
            <a:gd name="connsiteY0" fmla="*/ 622789 h 622789"/>
            <a:gd name="connsiteX1" fmla="*/ 117231 w 153865"/>
            <a:gd name="connsiteY1" fmla="*/ 278423 h 622789"/>
            <a:gd name="connsiteX2" fmla="*/ 0 w 153865"/>
            <a:gd name="connsiteY2" fmla="*/ 0 h 622789"/>
            <a:gd name="connsiteX0" fmla="*/ 158109 w 158109"/>
            <a:gd name="connsiteY0" fmla="*/ 677770 h 677770"/>
            <a:gd name="connsiteX1" fmla="*/ 117231 w 158109"/>
            <a:gd name="connsiteY1" fmla="*/ 278423 h 677770"/>
            <a:gd name="connsiteX2" fmla="*/ 0 w 158109"/>
            <a:gd name="connsiteY2" fmla="*/ 0 h 677770"/>
            <a:gd name="connsiteX0" fmla="*/ 160038 w 160038"/>
            <a:gd name="connsiteY0" fmla="*/ 702762 h 702762"/>
            <a:gd name="connsiteX1" fmla="*/ 117231 w 160038"/>
            <a:gd name="connsiteY1" fmla="*/ 278423 h 702762"/>
            <a:gd name="connsiteX2" fmla="*/ 0 w 160038"/>
            <a:gd name="connsiteY2" fmla="*/ 0 h 7027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0038" h="702762">
              <a:moveTo>
                <a:pt x="160038" y="702762"/>
              </a:moveTo>
              <a:cubicBezTo>
                <a:pt x="154543" y="582478"/>
                <a:pt x="142875" y="382221"/>
                <a:pt x="117231" y="278423"/>
              </a:cubicBezTo>
              <a:cubicBezTo>
                <a:pt x="91587" y="174625"/>
                <a:pt x="45793" y="87312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202176</xdr:colOff>
      <xdr:row>28</xdr:row>
      <xdr:rowOff>150851</xdr:rowOff>
    </xdr:from>
    <xdr:to>
      <xdr:col>3</xdr:col>
      <xdr:colOff>976547</xdr:colOff>
      <xdr:row>28</xdr:row>
      <xdr:rowOff>794917</xdr:rowOff>
    </xdr:to>
    <xdr:sp macro="" textlink="">
      <xdr:nvSpPr>
        <xdr:cNvPr id="117" name="Полилиния 116"/>
        <xdr:cNvSpPr/>
      </xdr:nvSpPr>
      <xdr:spPr>
        <a:xfrm rot="11064811">
          <a:off x="1745226" y="37603151"/>
          <a:ext cx="774371" cy="644066"/>
        </a:xfrm>
        <a:custGeom>
          <a:avLst/>
          <a:gdLst>
            <a:gd name="connsiteX0" fmla="*/ 0 w 725366"/>
            <a:gd name="connsiteY0" fmla="*/ 674077 h 674077"/>
            <a:gd name="connsiteX1" fmla="*/ 278423 w 725366"/>
            <a:gd name="connsiteY1" fmla="*/ 263769 h 674077"/>
            <a:gd name="connsiteX2" fmla="*/ 725366 w 725366"/>
            <a:gd name="connsiteY2" fmla="*/ 0 h 674077"/>
            <a:gd name="connsiteX0" fmla="*/ 0 w 755132"/>
            <a:gd name="connsiteY0" fmla="*/ 697889 h 697889"/>
            <a:gd name="connsiteX1" fmla="*/ 278423 w 755132"/>
            <a:gd name="connsiteY1" fmla="*/ 287581 h 697889"/>
            <a:gd name="connsiteX2" fmla="*/ 755132 w 755132"/>
            <a:gd name="connsiteY2" fmla="*/ 0 h 697889"/>
            <a:gd name="connsiteX0" fmla="*/ 0 w 754377"/>
            <a:gd name="connsiteY0" fmla="*/ 642523 h 642523"/>
            <a:gd name="connsiteX1" fmla="*/ 277668 w 754377"/>
            <a:gd name="connsiteY1" fmla="*/ 287581 h 642523"/>
            <a:gd name="connsiteX2" fmla="*/ 754377 w 754377"/>
            <a:gd name="connsiteY2" fmla="*/ 0 h 642523"/>
            <a:gd name="connsiteX0" fmla="*/ 0 w 774371"/>
            <a:gd name="connsiteY0" fmla="*/ 644066 h 644066"/>
            <a:gd name="connsiteX1" fmla="*/ 297662 w 774371"/>
            <a:gd name="connsiteY1" fmla="*/ 287581 h 644066"/>
            <a:gd name="connsiteX2" fmla="*/ 774371 w 774371"/>
            <a:gd name="connsiteY2" fmla="*/ 0 h 6440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74371" h="644066">
              <a:moveTo>
                <a:pt x="0" y="644066"/>
              </a:moveTo>
              <a:cubicBezTo>
                <a:pt x="78764" y="495085"/>
                <a:pt x="171807" y="403896"/>
                <a:pt x="297662" y="287581"/>
              </a:cubicBezTo>
              <a:cubicBezTo>
                <a:pt x="423517" y="171266"/>
                <a:pt x="611346" y="75711"/>
                <a:pt x="774371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571023</xdr:colOff>
      <xdr:row>28</xdr:row>
      <xdr:rowOff>100081</xdr:rowOff>
    </xdr:from>
    <xdr:to>
      <xdr:col>3</xdr:col>
      <xdr:colOff>1076581</xdr:colOff>
      <xdr:row>28</xdr:row>
      <xdr:rowOff>620293</xdr:rowOff>
    </xdr:to>
    <xdr:sp macro="" textlink="">
      <xdr:nvSpPr>
        <xdr:cNvPr id="118" name="Полилиния 117"/>
        <xdr:cNvSpPr/>
      </xdr:nvSpPr>
      <xdr:spPr>
        <a:xfrm rot="11064811">
          <a:off x="2114073" y="37552381"/>
          <a:ext cx="505558" cy="520212"/>
        </a:xfrm>
        <a:custGeom>
          <a:avLst/>
          <a:gdLst>
            <a:gd name="connsiteX0" fmla="*/ 0 w 505558"/>
            <a:gd name="connsiteY0" fmla="*/ 0 h 520212"/>
            <a:gd name="connsiteX1" fmla="*/ 359020 w 505558"/>
            <a:gd name="connsiteY1" fmla="*/ 344366 h 520212"/>
            <a:gd name="connsiteX2" fmla="*/ 505558 w 505558"/>
            <a:gd name="connsiteY2" fmla="*/ 520212 h 5202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05558" h="520212">
              <a:moveTo>
                <a:pt x="0" y="0"/>
              </a:moveTo>
              <a:cubicBezTo>
                <a:pt x="137380" y="128832"/>
                <a:pt x="274760" y="257664"/>
                <a:pt x="359020" y="344366"/>
              </a:cubicBezTo>
              <a:cubicBezTo>
                <a:pt x="443280" y="431068"/>
                <a:pt x="474419" y="475640"/>
                <a:pt x="505558" y="52021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566078</xdr:colOff>
      <xdr:row>28</xdr:row>
      <xdr:rowOff>74893</xdr:rowOff>
    </xdr:from>
    <xdr:to>
      <xdr:col>3</xdr:col>
      <xdr:colOff>620401</xdr:colOff>
      <xdr:row>28</xdr:row>
      <xdr:rowOff>565797</xdr:rowOff>
    </xdr:to>
    <xdr:sp macro="" textlink="">
      <xdr:nvSpPr>
        <xdr:cNvPr id="119" name="Полилиния 118"/>
        <xdr:cNvSpPr/>
      </xdr:nvSpPr>
      <xdr:spPr>
        <a:xfrm rot="11064811">
          <a:off x="2109128" y="37527193"/>
          <a:ext cx="54323" cy="490904"/>
        </a:xfrm>
        <a:custGeom>
          <a:avLst/>
          <a:gdLst>
            <a:gd name="connsiteX0" fmla="*/ 10361 w 54323"/>
            <a:gd name="connsiteY0" fmla="*/ 0 h 490904"/>
            <a:gd name="connsiteX1" fmla="*/ 3034 w 54323"/>
            <a:gd name="connsiteY1" fmla="*/ 285750 h 490904"/>
            <a:gd name="connsiteX2" fmla="*/ 54323 w 54323"/>
            <a:gd name="connsiteY2" fmla="*/ 490904 h 4909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23" h="490904">
              <a:moveTo>
                <a:pt x="10361" y="0"/>
              </a:moveTo>
              <a:cubicBezTo>
                <a:pt x="3034" y="101966"/>
                <a:pt x="-4293" y="203933"/>
                <a:pt x="3034" y="285750"/>
              </a:cubicBezTo>
              <a:cubicBezTo>
                <a:pt x="10361" y="367567"/>
                <a:pt x="32342" y="429235"/>
                <a:pt x="54323" y="49090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821261</xdr:colOff>
      <xdr:row>28</xdr:row>
      <xdr:rowOff>991438</xdr:rowOff>
    </xdr:from>
    <xdr:to>
      <xdr:col>3</xdr:col>
      <xdr:colOff>995275</xdr:colOff>
      <xdr:row>28</xdr:row>
      <xdr:rowOff>1360531</xdr:rowOff>
    </xdr:to>
    <xdr:sp macro="" textlink="">
      <xdr:nvSpPr>
        <xdr:cNvPr id="120" name="Полилиния 119"/>
        <xdr:cNvSpPr/>
      </xdr:nvSpPr>
      <xdr:spPr>
        <a:xfrm rot="11064811">
          <a:off x="2364311" y="38443738"/>
          <a:ext cx="174014" cy="369093"/>
        </a:xfrm>
        <a:custGeom>
          <a:avLst/>
          <a:gdLst>
            <a:gd name="connsiteX0" fmla="*/ 0 w 161192"/>
            <a:gd name="connsiteY0" fmla="*/ 534866 h 534866"/>
            <a:gd name="connsiteX1" fmla="*/ 117231 w 161192"/>
            <a:gd name="connsiteY1" fmla="*/ 278423 h 534866"/>
            <a:gd name="connsiteX2" fmla="*/ 161192 w 161192"/>
            <a:gd name="connsiteY2" fmla="*/ 0 h 534866"/>
            <a:gd name="connsiteX0" fmla="*/ 0 w 286091"/>
            <a:gd name="connsiteY0" fmla="*/ 570054 h 570054"/>
            <a:gd name="connsiteX1" fmla="*/ 117231 w 286091"/>
            <a:gd name="connsiteY1" fmla="*/ 313611 h 570054"/>
            <a:gd name="connsiteX2" fmla="*/ 286091 w 286091"/>
            <a:gd name="connsiteY2" fmla="*/ 0 h 570054"/>
            <a:gd name="connsiteX0" fmla="*/ 0 w 286091"/>
            <a:gd name="connsiteY0" fmla="*/ 570054 h 570054"/>
            <a:gd name="connsiteX1" fmla="*/ 221311 w 286091"/>
            <a:gd name="connsiteY1" fmla="*/ 222120 h 570054"/>
            <a:gd name="connsiteX2" fmla="*/ 286091 w 286091"/>
            <a:gd name="connsiteY2" fmla="*/ 0 h 570054"/>
            <a:gd name="connsiteX0" fmla="*/ 0 w 202825"/>
            <a:gd name="connsiteY0" fmla="*/ 436337 h 436337"/>
            <a:gd name="connsiteX1" fmla="*/ 138045 w 202825"/>
            <a:gd name="connsiteY1" fmla="*/ 222120 h 436337"/>
            <a:gd name="connsiteX2" fmla="*/ 202825 w 202825"/>
            <a:gd name="connsiteY2" fmla="*/ 0 h 4363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02825" h="436337">
              <a:moveTo>
                <a:pt x="0" y="436337"/>
              </a:moveTo>
              <a:cubicBezTo>
                <a:pt x="45183" y="352687"/>
                <a:pt x="111180" y="311264"/>
                <a:pt x="138045" y="222120"/>
              </a:cubicBezTo>
              <a:cubicBezTo>
                <a:pt x="164910" y="132976"/>
                <a:pt x="194277" y="94639"/>
                <a:pt x="20282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165136</xdr:colOff>
      <xdr:row>28</xdr:row>
      <xdr:rowOff>794216</xdr:rowOff>
    </xdr:from>
    <xdr:to>
      <xdr:col>3</xdr:col>
      <xdr:colOff>839025</xdr:colOff>
      <xdr:row>28</xdr:row>
      <xdr:rowOff>1428841</xdr:rowOff>
    </xdr:to>
    <xdr:sp macro="" textlink="">
      <xdr:nvSpPr>
        <xdr:cNvPr id="121" name="Полилиния 120"/>
        <xdr:cNvSpPr/>
      </xdr:nvSpPr>
      <xdr:spPr>
        <a:xfrm rot="11064811">
          <a:off x="1708186" y="38246516"/>
          <a:ext cx="673889" cy="634625"/>
        </a:xfrm>
        <a:custGeom>
          <a:avLst/>
          <a:gdLst>
            <a:gd name="connsiteX0" fmla="*/ 0 w 791307"/>
            <a:gd name="connsiteY0" fmla="*/ 0 h 864577"/>
            <a:gd name="connsiteX1" fmla="*/ 65942 w 791307"/>
            <a:gd name="connsiteY1" fmla="*/ 293077 h 864577"/>
            <a:gd name="connsiteX2" fmla="*/ 351692 w 791307"/>
            <a:gd name="connsiteY2" fmla="*/ 644769 h 864577"/>
            <a:gd name="connsiteX3" fmla="*/ 791307 w 791307"/>
            <a:gd name="connsiteY3" fmla="*/ 864577 h 864577"/>
            <a:gd name="connsiteX0" fmla="*/ 0 w 725365"/>
            <a:gd name="connsiteY0" fmla="*/ 0 h 571500"/>
            <a:gd name="connsiteX1" fmla="*/ 285750 w 725365"/>
            <a:gd name="connsiteY1" fmla="*/ 351692 h 571500"/>
            <a:gd name="connsiteX2" fmla="*/ 725365 w 725365"/>
            <a:gd name="connsiteY2" fmla="*/ 571500 h 571500"/>
            <a:gd name="connsiteX0" fmla="*/ 0 w 761083"/>
            <a:gd name="connsiteY0" fmla="*/ 0 h 660797"/>
            <a:gd name="connsiteX1" fmla="*/ 321468 w 761083"/>
            <a:gd name="connsiteY1" fmla="*/ 440989 h 660797"/>
            <a:gd name="connsiteX2" fmla="*/ 761083 w 761083"/>
            <a:gd name="connsiteY2" fmla="*/ 660797 h 660797"/>
            <a:gd name="connsiteX0" fmla="*/ 0 w 749177"/>
            <a:gd name="connsiteY0" fmla="*/ 0 h 607219"/>
            <a:gd name="connsiteX1" fmla="*/ 309562 w 749177"/>
            <a:gd name="connsiteY1" fmla="*/ 387411 h 607219"/>
            <a:gd name="connsiteX2" fmla="*/ 749177 w 749177"/>
            <a:gd name="connsiteY2" fmla="*/ 607219 h 607219"/>
            <a:gd name="connsiteX0" fmla="*/ 0 w 767037"/>
            <a:gd name="connsiteY0" fmla="*/ 0 h 672703"/>
            <a:gd name="connsiteX1" fmla="*/ 327422 w 767037"/>
            <a:gd name="connsiteY1" fmla="*/ 452895 h 672703"/>
            <a:gd name="connsiteX2" fmla="*/ 767037 w 767037"/>
            <a:gd name="connsiteY2" fmla="*/ 672703 h 672703"/>
            <a:gd name="connsiteX0" fmla="*/ 0 w 677741"/>
            <a:gd name="connsiteY0" fmla="*/ 0 h 684609"/>
            <a:gd name="connsiteX1" fmla="*/ 238126 w 677741"/>
            <a:gd name="connsiteY1" fmla="*/ 464801 h 684609"/>
            <a:gd name="connsiteX2" fmla="*/ 677741 w 677741"/>
            <a:gd name="connsiteY2" fmla="*/ 684609 h 684609"/>
            <a:gd name="connsiteX0" fmla="*/ 5 w 677746"/>
            <a:gd name="connsiteY0" fmla="*/ 0 h 684609"/>
            <a:gd name="connsiteX1" fmla="*/ 238131 w 677746"/>
            <a:gd name="connsiteY1" fmla="*/ 464801 h 684609"/>
            <a:gd name="connsiteX2" fmla="*/ 677746 w 677746"/>
            <a:gd name="connsiteY2" fmla="*/ 684609 h 684609"/>
            <a:gd name="connsiteX0" fmla="*/ 6 w 673889"/>
            <a:gd name="connsiteY0" fmla="*/ 0 h 634625"/>
            <a:gd name="connsiteX1" fmla="*/ 234274 w 673889"/>
            <a:gd name="connsiteY1" fmla="*/ 414817 h 634625"/>
            <a:gd name="connsiteX2" fmla="*/ 673889 w 673889"/>
            <a:gd name="connsiteY2" fmla="*/ 634625 h 634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3889" h="634625">
              <a:moveTo>
                <a:pt x="6" y="0"/>
              </a:moveTo>
              <a:cubicBezTo>
                <a:pt x="-911" y="226524"/>
                <a:pt x="106435" y="302700"/>
                <a:pt x="234274" y="414817"/>
              </a:cubicBezTo>
              <a:cubicBezTo>
                <a:pt x="362113" y="526934"/>
                <a:pt x="514528" y="572346"/>
                <a:pt x="673889" y="634625"/>
              </a:cubicBezTo>
            </a:path>
          </a:pathLst>
        </a:custGeom>
        <a:noFill/>
        <a:ln w="19050">
          <a:solidFill>
            <a:schemeClr val="tx1"/>
          </a:solidFill>
          <a:headEnd type="non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772083</xdr:colOff>
      <xdr:row>28</xdr:row>
      <xdr:rowOff>1405278</xdr:rowOff>
    </xdr:from>
    <xdr:to>
      <xdr:col>3</xdr:col>
      <xdr:colOff>844083</xdr:colOff>
      <xdr:row>28</xdr:row>
      <xdr:rowOff>1477278</xdr:rowOff>
    </xdr:to>
    <xdr:sp macro="" textlink="">
      <xdr:nvSpPr>
        <xdr:cNvPr id="122" name="Овал 12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1064811">
          <a:off x="2315133" y="3885757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560902</xdr:colOff>
      <xdr:row>28</xdr:row>
      <xdr:rowOff>961237</xdr:rowOff>
    </xdr:from>
    <xdr:to>
      <xdr:col>3</xdr:col>
      <xdr:colOff>642545</xdr:colOff>
      <xdr:row>28</xdr:row>
      <xdr:rowOff>1059209</xdr:rowOff>
    </xdr:to>
    <xdr:sp macro="" textlink="">
      <xdr:nvSpPr>
        <xdr:cNvPr id="123" name="Прямоугольник 122"/>
        <xdr:cNvSpPr/>
      </xdr:nvSpPr>
      <xdr:spPr>
        <a:xfrm rot="2700000">
          <a:off x="2095788" y="38421701"/>
          <a:ext cx="97972" cy="81643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295148</xdr:colOff>
      <xdr:row>36</xdr:row>
      <xdr:rowOff>796267</xdr:rowOff>
    </xdr:from>
    <xdr:to>
      <xdr:col>3</xdr:col>
      <xdr:colOff>498968</xdr:colOff>
      <xdr:row>36</xdr:row>
      <xdr:rowOff>953935</xdr:rowOff>
    </xdr:to>
    <xdr:cxnSp macro="">
      <xdr:nvCxnSpPr>
        <xdr:cNvPr id="124" name="Прямая со стрелкой 123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rot="16200000">
          <a:off x="1861274" y="50417491"/>
          <a:ext cx="157668" cy="203820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507310</xdr:colOff>
      <xdr:row>36</xdr:row>
      <xdr:rowOff>486168</xdr:rowOff>
    </xdr:from>
    <xdr:to>
      <xdr:col>3</xdr:col>
      <xdr:colOff>1001231</xdr:colOff>
      <xdr:row>36</xdr:row>
      <xdr:rowOff>980089</xdr:rowOff>
    </xdr:to>
    <xdr:sp macro="" textlink="">
      <xdr:nvSpPr>
        <xdr:cNvPr id="125" name="Овал 124"/>
        <xdr:cNvSpPr/>
      </xdr:nvSpPr>
      <xdr:spPr>
        <a:xfrm rot="16200000">
          <a:off x="2050360" y="50130468"/>
          <a:ext cx="493921" cy="493921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628392</xdr:colOff>
      <xdr:row>36</xdr:row>
      <xdr:rowOff>1410857</xdr:rowOff>
    </xdr:from>
    <xdr:to>
      <xdr:col>3</xdr:col>
      <xdr:colOff>700392</xdr:colOff>
      <xdr:row>36</xdr:row>
      <xdr:rowOff>1482857</xdr:rowOff>
    </xdr:to>
    <xdr:sp macro="" textlink="">
      <xdr:nvSpPr>
        <xdr:cNvPr id="126" name="Овал 125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4928559" flipH="1">
          <a:off x="2171442" y="5105515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631415</xdr:colOff>
      <xdr:row>36</xdr:row>
      <xdr:rowOff>85118</xdr:rowOff>
    </xdr:from>
    <xdr:to>
      <xdr:col>3</xdr:col>
      <xdr:colOff>1332582</xdr:colOff>
      <xdr:row>36</xdr:row>
      <xdr:rowOff>744034</xdr:rowOff>
    </xdr:to>
    <xdr:sp macro="" textlink="">
      <xdr:nvSpPr>
        <xdr:cNvPr id="127" name="Полилиния 126"/>
        <xdr:cNvSpPr/>
      </xdr:nvSpPr>
      <xdr:spPr>
        <a:xfrm rot="16200000">
          <a:off x="2195591" y="49708292"/>
          <a:ext cx="658916" cy="701167"/>
        </a:xfrm>
        <a:custGeom>
          <a:avLst/>
          <a:gdLst>
            <a:gd name="connsiteX0" fmla="*/ 0 w 636985"/>
            <a:gd name="connsiteY0" fmla="*/ 738187 h 738187"/>
            <a:gd name="connsiteX1" fmla="*/ 190500 w 636985"/>
            <a:gd name="connsiteY1" fmla="*/ 184546 h 738187"/>
            <a:gd name="connsiteX2" fmla="*/ 636985 w 636985"/>
            <a:gd name="connsiteY2" fmla="*/ 0 h 738187"/>
            <a:gd name="connsiteX0" fmla="*/ 0 w 695600"/>
            <a:gd name="connsiteY0" fmla="*/ 701553 h 701553"/>
            <a:gd name="connsiteX1" fmla="*/ 249115 w 695600"/>
            <a:gd name="connsiteY1" fmla="*/ 184546 h 701553"/>
            <a:gd name="connsiteX2" fmla="*/ 695600 w 695600"/>
            <a:gd name="connsiteY2" fmla="*/ 0 h 701553"/>
            <a:gd name="connsiteX0" fmla="*/ 0 w 680946"/>
            <a:gd name="connsiteY0" fmla="*/ 752841 h 752841"/>
            <a:gd name="connsiteX1" fmla="*/ 249115 w 680946"/>
            <a:gd name="connsiteY1" fmla="*/ 235834 h 752841"/>
            <a:gd name="connsiteX2" fmla="*/ 680946 w 680946"/>
            <a:gd name="connsiteY2" fmla="*/ 0 h 752841"/>
            <a:gd name="connsiteX0" fmla="*/ 0 w 688273"/>
            <a:gd name="connsiteY0" fmla="*/ 855418 h 855418"/>
            <a:gd name="connsiteX1" fmla="*/ 249115 w 688273"/>
            <a:gd name="connsiteY1" fmla="*/ 338411 h 855418"/>
            <a:gd name="connsiteX2" fmla="*/ 688273 w 688273"/>
            <a:gd name="connsiteY2" fmla="*/ 0 h 855418"/>
            <a:gd name="connsiteX0" fmla="*/ 0 w 688273"/>
            <a:gd name="connsiteY0" fmla="*/ 855418 h 855418"/>
            <a:gd name="connsiteX1" fmla="*/ 205154 w 688273"/>
            <a:gd name="connsiteY1" fmla="*/ 353065 h 855418"/>
            <a:gd name="connsiteX2" fmla="*/ 688273 w 688273"/>
            <a:gd name="connsiteY2" fmla="*/ 0 h 855418"/>
            <a:gd name="connsiteX0" fmla="*/ 0 w 688273"/>
            <a:gd name="connsiteY0" fmla="*/ 855418 h 855418"/>
            <a:gd name="connsiteX1" fmla="*/ 205154 w 688273"/>
            <a:gd name="connsiteY1" fmla="*/ 353065 h 855418"/>
            <a:gd name="connsiteX2" fmla="*/ 625078 w 688273"/>
            <a:gd name="connsiteY2" fmla="*/ 91586 h 855418"/>
            <a:gd name="connsiteX3" fmla="*/ 688273 w 688273"/>
            <a:gd name="connsiteY3" fmla="*/ 0 h 855418"/>
            <a:gd name="connsiteX0" fmla="*/ 0 w 625078"/>
            <a:gd name="connsiteY0" fmla="*/ 763832 h 763832"/>
            <a:gd name="connsiteX1" fmla="*/ 205154 w 625078"/>
            <a:gd name="connsiteY1" fmla="*/ 261479 h 763832"/>
            <a:gd name="connsiteX2" fmla="*/ 625078 w 625078"/>
            <a:gd name="connsiteY2" fmla="*/ 0 h 763832"/>
            <a:gd name="connsiteX0" fmla="*/ 0 w 620065"/>
            <a:gd name="connsiteY0" fmla="*/ 743779 h 743779"/>
            <a:gd name="connsiteX1" fmla="*/ 205154 w 620065"/>
            <a:gd name="connsiteY1" fmla="*/ 241426 h 743779"/>
            <a:gd name="connsiteX2" fmla="*/ 620065 w 620065"/>
            <a:gd name="connsiteY2" fmla="*/ 0 h 743779"/>
            <a:gd name="connsiteX0" fmla="*/ 0 w 620065"/>
            <a:gd name="connsiteY0" fmla="*/ 743779 h 743779"/>
            <a:gd name="connsiteX1" fmla="*/ 205154 w 620065"/>
            <a:gd name="connsiteY1" fmla="*/ 241426 h 743779"/>
            <a:gd name="connsiteX2" fmla="*/ 620065 w 620065"/>
            <a:gd name="connsiteY2" fmla="*/ 0 h 743779"/>
            <a:gd name="connsiteX0" fmla="*/ 0 w 655157"/>
            <a:gd name="connsiteY0" fmla="*/ 773858 h 773858"/>
            <a:gd name="connsiteX1" fmla="*/ 205154 w 655157"/>
            <a:gd name="connsiteY1" fmla="*/ 271505 h 773858"/>
            <a:gd name="connsiteX2" fmla="*/ 655157 w 655157"/>
            <a:gd name="connsiteY2" fmla="*/ 0 h 773858"/>
            <a:gd name="connsiteX0" fmla="*/ 0 w 635104"/>
            <a:gd name="connsiteY0" fmla="*/ 748792 h 748792"/>
            <a:gd name="connsiteX1" fmla="*/ 205154 w 635104"/>
            <a:gd name="connsiteY1" fmla="*/ 246439 h 748792"/>
            <a:gd name="connsiteX2" fmla="*/ 635104 w 635104"/>
            <a:gd name="connsiteY2" fmla="*/ 0 h 748792"/>
            <a:gd name="connsiteX0" fmla="*/ 0 w 658916"/>
            <a:gd name="connsiteY0" fmla="*/ 701167 h 701167"/>
            <a:gd name="connsiteX1" fmla="*/ 228966 w 658916"/>
            <a:gd name="connsiteY1" fmla="*/ 246439 h 701167"/>
            <a:gd name="connsiteX2" fmla="*/ 658916 w 658916"/>
            <a:gd name="connsiteY2" fmla="*/ 0 h 701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58916" h="701167">
              <a:moveTo>
                <a:pt x="0" y="701167"/>
              </a:moveTo>
              <a:cubicBezTo>
                <a:pt x="42168" y="485862"/>
                <a:pt x="122802" y="369470"/>
                <a:pt x="228966" y="246439"/>
              </a:cubicBezTo>
              <a:cubicBezTo>
                <a:pt x="335588" y="105701"/>
                <a:pt x="543304" y="43805"/>
                <a:pt x="65891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653830</xdr:colOff>
      <xdr:row>36</xdr:row>
      <xdr:rowOff>718799</xdr:rowOff>
    </xdr:from>
    <xdr:to>
      <xdr:col>3</xdr:col>
      <xdr:colOff>1495486</xdr:colOff>
      <xdr:row>36</xdr:row>
      <xdr:rowOff>1280515</xdr:rowOff>
    </xdr:to>
    <xdr:sp macro="" textlink="">
      <xdr:nvSpPr>
        <xdr:cNvPr id="128" name="Полилиния 127"/>
        <xdr:cNvSpPr/>
      </xdr:nvSpPr>
      <xdr:spPr>
        <a:xfrm rot="16200000">
          <a:off x="2336850" y="50223129"/>
          <a:ext cx="561716" cy="841656"/>
        </a:xfrm>
        <a:custGeom>
          <a:avLst/>
          <a:gdLst>
            <a:gd name="connsiteX0" fmla="*/ 0 w 684610"/>
            <a:gd name="connsiteY0" fmla="*/ 0 h 666750"/>
            <a:gd name="connsiteX1" fmla="*/ 517922 w 684610"/>
            <a:gd name="connsiteY1" fmla="*/ 142875 h 666750"/>
            <a:gd name="connsiteX2" fmla="*/ 684610 w 684610"/>
            <a:gd name="connsiteY2" fmla="*/ 666750 h 666750"/>
            <a:gd name="connsiteX0" fmla="*/ 0 w 750552"/>
            <a:gd name="connsiteY0" fmla="*/ 0 h 666750"/>
            <a:gd name="connsiteX1" fmla="*/ 517922 w 750552"/>
            <a:gd name="connsiteY1" fmla="*/ 142875 h 666750"/>
            <a:gd name="connsiteX2" fmla="*/ 750552 w 750552"/>
            <a:gd name="connsiteY2" fmla="*/ 666750 h 666750"/>
            <a:gd name="connsiteX0" fmla="*/ 0 w 647975"/>
            <a:gd name="connsiteY0" fmla="*/ 0 h 762000"/>
            <a:gd name="connsiteX1" fmla="*/ 415345 w 647975"/>
            <a:gd name="connsiteY1" fmla="*/ 238125 h 762000"/>
            <a:gd name="connsiteX2" fmla="*/ 647975 w 647975"/>
            <a:gd name="connsiteY2" fmla="*/ 762000 h 762000"/>
            <a:gd name="connsiteX0" fmla="*/ 0 w 662629"/>
            <a:gd name="connsiteY0" fmla="*/ 0 h 805962"/>
            <a:gd name="connsiteX1" fmla="*/ 429999 w 662629"/>
            <a:gd name="connsiteY1" fmla="*/ 282087 h 805962"/>
            <a:gd name="connsiteX2" fmla="*/ 662629 w 662629"/>
            <a:gd name="connsiteY2" fmla="*/ 805962 h 805962"/>
            <a:gd name="connsiteX0" fmla="*/ 0 w 604014"/>
            <a:gd name="connsiteY0" fmla="*/ 0 h 747346"/>
            <a:gd name="connsiteX1" fmla="*/ 371384 w 604014"/>
            <a:gd name="connsiteY1" fmla="*/ 223471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406789 w 604014"/>
            <a:gd name="connsiteY2" fmla="*/ 242898 h 747346"/>
            <a:gd name="connsiteX3" fmla="*/ 604014 w 604014"/>
            <a:gd name="connsiteY3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406789 w 604014"/>
            <a:gd name="connsiteY2" fmla="*/ 242898 h 747346"/>
            <a:gd name="connsiteX3" fmla="*/ 604014 w 604014"/>
            <a:gd name="connsiteY3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311539 w 604014"/>
            <a:gd name="connsiteY1" fmla="*/ 112555 h 747346"/>
            <a:gd name="connsiteX2" fmla="*/ 416503 w 604014"/>
            <a:gd name="connsiteY2" fmla="*/ 218458 h 747346"/>
            <a:gd name="connsiteX3" fmla="*/ 604014 w 604014"/>
            <a:gd name="connsiteY3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396450 w 604014"/>
            <a:gd name="connsiteY1" fmla="*/ 243524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381411 w 604014"/>
            <a:gd name="connsiteY1" fmla="*/ 228484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401463 w 604014"/>
            <a:gd name="connsiteY1" fmla="*/ 228484 h 747346"/>
            <a:gd name="connsiteX2" fmla="*/ 604014 w 604014"/>
            <a:gd name="connsiteY2" fmla="*/ 747346 h 747346"/>
            <a:gd name="connsiteX0" fmla="*/ 0 w 473672"/>
            <a:gd name="connsiteY0" fmla="*/ 0 h 762385"/>
            <a:gd name="connsiteX1" fmla="*/ 271121 w 473672"/>
            <a:gd name="connsiteY1" fmla="*/ 243523 h 762385"/>
            <a:gd name="connsiteX2" fmla="*/ 473672 w 473672"/>
            <a:gd name="connsiteY2" fmla="*/ 762385 h 762385"/>
            <a:gd name="connsiteX0" fmla="*/ 0 w 543857"/>
            <a:gd name="connsiteY0" fmla="*/ 0 h 752359"/>
            <a:gd name="connsiteX1" fmla="*/ 341306 w 543857"/>
            <a:gd name="connsiteY1" fmla="*/ 233497 h 752359"/>
            <a:gd name="connsiteX2" fmla="*/ 543857 w 543857"/>
            <a:gd name="connsiteY2" fmla="*/ 752359 h 752359"/>
            <a:gd name="connsiteX0" fmla="*/ 0 w 543857"/>
            <a:gd name="connsiteY0" fmla="*/ 0 h 752359"/>
            <a:gd name="connsiteX1" fmla="*/ 341306 w 543857"/>
            <a:gd name="connsiteY1" fmla="*/ 233497 h 752359"/>
            <a:gd name="connsiteX2" fmla="*/ 543857 w 543857"/>
            <a:gd name="connsiteY2" fmla="*/ 752359 h 752359"/>
            <a:gd name="connsiteX0" fmla="*/ 0 w 561716"/>
            <a:gd name="connsiteY0" fmla="*/ 0 h 841656"/>
            <a:gd name="connsiteX1" fmla="*/ 341306 w 561716"/>
            <a:gd name="connsiteY1" fmla="*/ 233497 h 841656"/>
            <a:gd name="connsiteX2" fmla="*/ 561716 w 561716"/>
            <a:gd name="connsiteY2" fmla="*/ 841656 h 841656"/>
            <a:gd name="connsiteX0" fmla="*/ 0 w 561716"/>
            <a:gd name="connsiteY0" fmla="*/ 0 h 841656"/>
            <a:gd name="connsiteX1" fmla="*/ 341306 w 561716"/>
            <a:gd name="connsiteY1" fmla="*/ 233497 h 841656"/>
            <a:gd name="connsiteX2" fmla="*/ 561716 w 561716"/>
            <a:gd name="connsiteY2" fmla="*/ 841656 h 8416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61716" h="841656">
              <a:moveTo>
                <a:pt x="0" y="0"/>
              </a:moveTo>
              <a:cubicBezTo>
                <a:pt x="141916" y="20446"/>
                <a:pt x="240637" y="108939"/>
                <a:pt x="341306" y="233497"/>
              </a:cubicBezTo>
              <a:cubicBezTo>
                <a:pt x="441975" y="358055"/>
                <a:pt x="546464" y="695753"/>
                <a:pt x="561716" y="841656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497263</xdr:colOff>
      <xdr:row>36</xdr:row>
      <xdr:rowOff>68534</xdr:rowOff>
    </xdr:from>
    <xdr:to>
      <xdr:col>3</xdr:col>
      <xdr:colOff>673071</xdr:colOff>
      <xdr:row>36</xdr:row>
      <xdr:rowOff>1453735</xdr:rowOff>
    </xdr:to>
    <xdr:sp macro="" textlink="">
      <xdr:nvSpPr>
        <xdr:cNvPr id="129" name="Полилиния 128"/>
        <xdr:cNvSpPr/>
      </xdr:nvSpPr>
      <xdr:spPr>
        <a:xfrm rot="16200000">
          <a:off x="1435616" y="50317531"/>
          <a:ext cx="1385201" cy="175808"/>
        </a:xfrm>
        <a:custGeom>
          <a:avLst/>
          <a:gdLst>
            <a:gd name="connsiteX0" fmla="*/ 1416844 w 1416844"/>
            <a:gd name="connsiteY0" fmla="*/ 125115 h 142974"/>
            <a:gd name="connsiteX1" fmla="*/ 726281 w 1416844"/>
            <a:gd name="connsiteY1" fmla="*/ 99 h 142974"/>
            <a:gd name="connsiteX2" fmla="*/ 0 w 1416844"/>
            <a:gd name="connsiteY2" fmla="*/ 142974 h 142974"/>
            <a:gd name="connsiteX0" fmla="*/ 1431498 w 1431498"/>
            <a:gd name="connsiteY0" fmla="*/ 234958 h 234958"/>
            <a:gd name="connsiteX1" fmla="*/ 726281 w 1431498"/>
            <a:gd name="connsiteY1" fmla="*/ 38 h 234958"/>
            <a:gd name="connsiteX2" fmla="*/ 0 w 1431498"/>
            <a:gd name="connsiteY2" fmla="*/ 142913 h 234958"/>
            <a:gd name="connsiteX0" fmla="*/ 1416844 w 1416844"/>
            <a:gd name="connsiteY0" fmla="*/ 132433 h 142965"/>
            <a:gd name="connsiteX1" fmla="*/ 726281 w 1416844"/>
            <a:gd name="connsiteY1" fmla="*/ 90 h 142965"/>
            <a:gd name="connsiteX2" fmla="*/ 0 w 1416844"/>
            <a:gd name="connsiteY2" fmla="*/ 142965 h 142965"/>
            <a:gd name="connsiteX0" fmla="*/ 1431498 w 1431498"/>
            <a:gd name="connsiteY0" fmla="*/ 132433 h 230888"/>
            <a:gd name="connsiteX1" fmla="*/ 740935 w 1431498"/>
            <a:gd name="connsiteY1" fmla="*/ 90 h 230888"/>
            <a:gd name="connsiteX2" fmla="*/ 0 w 1431498"/>
            <a:gd name="connsiteY2" fmla="*/ 230888 h 230888"/>
            <a:gd name="connsiteX0" fmla="*/ 1438825 w 1438825"/>
            <a:gd name="connsiteY0" fmla="*/ 132433 h 260196"/>
            <a:gd name="connsiteX1" fmla="*/ 748262 w 1438825"/>
            <a:gd name="connsiteY1" fmla="*/ 90 h 260196"/>
            <a:gd name="connsiteX2" fmla="*/ 0 w 1438825"/>
            <a:gd name="connsiteY2" fmla="*/ 260196 h 260196"/>
            <a:gd name="connsiteX0" fmla="*/ 1438825 w 1438825"/>
            <a:gd name="connsiteY0" fmla="*/ 33828 h 161591"/>
            <a:gd name="connsiteX1" fmla="*/ 748262 w 1438825"/>
            <a:gd name="connsiteY1" fmla="*/ 18716 h 161591"/>
            <a:gd name="connsiteX2" fmla="*/ 0 w 1438825"/>
            <a:gd name="connsiteY2" fmla="*/ 161591 h 161591"/>
            <a:gd name="connsiteX0" fmla="*/ 1416844 w 1416844"/>
            <a:gd name="connsiteY0" fmla="*/ 117802 h 142988"/>
            <a:gd name="connsiteX1" fmla="*/ 748262 w 1416844"/>
            <a:gd name="connsiteY1" fmla="*/ 113 h 142988"/>
            <a:gd name="connsiteX2" fmla="*/ 0 w 1416844"/>
            <a:gd name="connsiteY2" fmla="*/ 142988 h 142988"/>
            <a:gd name="connsiteX0" fmla="*/ 1416844 w 1416844"/>
            <a:gd name="connsiteY0" fmla="*/ 117802 h 142988"/>
            <a:gd name="connsiteX1" fmla="*/ 748262 w 1416844"/>
            <a:gd name="connsiteY1" fmla="*/ 113 h 142988"/>
            <a:gd name="connsiteX2" fmla="*/ 0 w 1416844"/>
            <a:gd name="connsiteY2" fmla="*/ 142988 h 142988"/>
            <a:gd name="connsiteX0" fmla="*/ 1416844 w 1416844"/>
            <a:gd name="connsiteY0" fmla="*/ 130715 h 155901"/>
            <a:gd name="connsiteX1" fmla="*/ 786730 w 1416844"/>
            <a:gd name="connsiteY1" fmla="*/ 19893 h 155901"/>
            <a:gd name="connsiteX2" fmla="*/ 748262 w 1416844"/>
            <a:gd name="connsiteY2" fmla="*/ 13026 h 155901"/>
            <a:gd name="connsiteX3" fmla="*/ 0 w 1416844"/>
            <a:gd name="connsiteY3" fmla="*/ 155901 h 155901"/>
            <a:gd name="connsiteX0" fmla="*/ 1416844 w 1416844"/>
            <a:gd name="connsiteY0" fmla="*/ 194447 h 219633"/>
            <a:gd name="connsiteX1" fmla="*/ 1017335 w 1416844"/>
            <a:gd name="connsiteY1" fmla="*/ 3415 h 219633"/>
            <a:gd name="connsiteX2" fmla="*/ 748262 w 1416844"/>
            <a:gd name="connsiteY2" fmla="*/ 76758 h 219633"/>
            <a:gd name="connsiteX3" fmla="*/ 0 w 1416844"/>
            <a:gd name="connsiteY3" fmla="*/ 219633 h 219633"/>
            <a:gd name="connsiteX0" fmla="*/ 1416844 w 1416844"/>
            <a:gd name="connsiteY0" fmla="*/ 117689 h 142875"/>
            <a:gd name="connsiteX1" fmla="*/ 748262 w 1416844"/>
            <a:gd name="connsiteY1" fmla="*/ 0 h 142875"/>
            <a:gd name="connsiteX2" fmla="*/ 0 w 1416844"/>
            <a:gd name="connsiteY2" fmla="*/ 142875 h 142875"/>
            <a:gd name="connsiteX0" fmla="*/ 1416844 w 1416844"/>
            <a:gd name="connsiteY0" fmla="*/ 77583 h 102769"/>
            <a:gd name="connsiteX1" fmla="*/ 748262 w 1416844"/>
            <a:gd name="connsiteY1" fmla="*/ 0 h 102769"/>
            <a:gd name="connsiteX2" fmla="*/ 0 w 1416844"/>
            <a:gd name="connsiteY2" fmla="*/ 102769 h 102769"/>
            <a:gd name="connsiteX0" fmla="*/ 1416844 w 1416844"/>
            <a:gd name="connsiteY0" fmla="*/ 127715 h 127715"/>
            <a:gd name="connsiteX1" fmla="*/ 748262 w 1416844"/>
            <a:gd name="connsiteY1" fmla="*/ 0 h 127715"/>
            <a:gd name="connsiteX2" fmla="*/ 0 w 1416844"/>
            <a:gd name="connsiteY2" fmla="*/ 102769 h 127715"/>
            <a:gd name="connsiteX0" fmla="*/ 1426870 w 1426870"/>
            <a:gd name="connsiteY0" fmla="*/ 127715 h 157914"/>
            <a:gd name="connsiteX1" fmla="*/ 758288 w 1426870"/>
            <a:gd name="connsiteY1" fmla="*/ 0 h 157914"/>
            <a:gd name="connsiteX2" fmla="*/ 0 w 1426870"/>
            <a:gd name="connsiteY2" fmla="*/ 157914 h 157914"/>
            <a:gd name="connsiteX0" fmla="*/ 1426870 w 1426870"/>
            <a:gd name="connsiteY0" fmla="*/ 127759 h 157958"/>
            <a:gd name="connsiteX1" fmla="*/ 758288 w 1426870"/>
            <a:gd name="connsiteY1" fmla="*/ 44 h 157958"/>
            <a:gd name="connsiteX2" fmla="*/ 190549 w 1426870"/>
            <a:gd name="connsiteY2" fmla="*/ 113727 h 157958"/>
            <a:gd name="connsiteX3" fmla="*/ 0 w 1426870"/>
            <a:gd name="connsiteY3" fmla="*/ 157958 h 157958"/>
            <a:gd name="connsiteX0" fmla="*/ 1426870 w 1426870"/>
            <a:gd name="connsiteY0" fmla="*/ 127747 h 164961"/>
            <a:gd name="connsiteX1" fmla="*/ 758288 w 1426870"/>
            <a:gd name="connsiteY1" fmla="*/ 32 h 164961"/>
            <a:gd name="connsiteX2" fmla="*/ 205588 w 1426870"/>
            <a:gd name="connsiteY2" fmla="*/ 153821 h 164961"/>
            <a:gd name="connsiteX3" fmla="*/ 0 w 1426870"/>
            <a:gd name="connsiteY3" fmla="*/ 157946 h 164961"/>
            <a:gd name="connsiteX0" fmla="*/ 1385201 w 1385201"/>
            <a:gd name="connsiteY0" fmla="*/ 127747 h 175808"/>
            <a:gd name="connsiteX1" fmla="*/ 716619 w 1385201"/>
            <a:gd name="connsiteY1" fmla="*/ 32 h 175808"/>
            <a:gd name="connsiteX2" fmla="*/ 163919 w 1385201"/>
            <a:gd name="connsiteY2" fmla="*/ 153821 h 175808"/>
            <a:gd name="connsiteX3" fmla="*/ 0 w 1385201"/>
            <a:gd name="connsiteY3" fmla="*/ 175808 h 17580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85201" h="175808">
              <a:moveTo>
                <a:pt x="1385201" y="127747"/>
              </a:moveTo>
              <a:lnTo>
                <a:pt x="716619" y="32"/>
              </a:lnTo>
              <a:cubicBezTo>
                <a:pt x="510566" y="-2307"/>
                <a:pt x="290300" y="127502"/>
                <a:pt x="163919" y="153821"/>
              </a:cubicBezTo>
              <a:cubicBezTo>
                <a:pt x="37538" y="180140"/>
                <a:pt x="31758" y="168436"/>
                <a:pt x="0" y="17580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520035</xdr:colOff>
      <xdr:row>36</xdr:row>
      <xdr:rowOff>1006911</xdr:rowOff>
    </xdr:from>
    <xdr:to>
      <xdr:col>3</xdr:col>
      <xdr:colOff>592035</xdr:colOff>
      <xdr:row>36</xdr:row>
      <xdr:rowOff>1078911</xdr:rowOff>
    </xdr:to>
    <xdr:sp macro="" textlink="">
      <xdr:nvSpPr>
        <xdr:cNvPr id="130" name="Прямоугольник 129"/>
        <xdr:cNvSpPr/>
      </xdr:nvSpPr>
      <xdr:spPr>
        <a:xfrm rot="16200000">
          <a:off x="2063085" y="50651211"/>
          <a:ext cx="72000" cy="72000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733188</xdr:colOff>
      <xdr:row>23</xdr:row>
      <xdr:rowOff>104408</xdr:rowOff>
    </xdr:from>
    <xdr:to>
      <xdr:col>3</xdr:col>
      <xdr:colOff>733188</xdr:colOff>
      <xdr:row>23</xdr:row>
      <xdr:rowOff>1416364</xdr:rowOff>
    </xdr:to>
    <xdr:cxnSp macro="">
      <xdr:nvCxnSpPr>
        <xdr:cNvPr id="131" name="Прямая со стрелкой 13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6238" y="29936708"/>
          <a:ext cx="0" cy="13119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733188</xdr:colOff>
      <xdr:row>24</xdr:row>
      <xdr:rowOff>90469</xdr:rowOff>
    </xdr:from>
    <xdr:to>
      <xdr:col>3</xdr:col>
      <xdr:colOff>733188</xdr:colOff>
      <xdr:row>24</xdr:row>
      <xdr:rowOff>1402425</xdr:rowOff>
    </xdr:to>
    <xdr:cxnSp macro="">
      <xdr:nvCxnSpPr>
        <xdr:cNvPr id="132" name="Прямая со стрелкой 13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6238" y="31446769"/>
          <a:ext cx="0" cy="13119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688763</xdr:colOff>
      <xdr:row>8</xdr:row>
      <xdr:rowOff>712305</xdr:rowOff>
    </xdr:from>
    <xdr:to>
      <xdr:col>3</xdr:col>
      <xdr:colOff>688763</xdr:colOff>
      <xdr:row>8</xdr:row>
      <xdr:rowOff>1012658</xdr:rowOff>
    </xdr:to>
    <xdr:cxnSp macro="">
      <xdr:nvCxnSpPr>
        <xdr:cNvPr id="133" name="Прямая со стрелкой 13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31813" y="7684605"/>
          <a:ext cx="0" cy="300353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673891</xdr:colOff>
      <xdr:row>26</xdr:row>
      <xdr:rowOff>1357589</xdr:rowOff>
    </xdr:from>
    <xdr:to>
      <xdr:col>3</xdr:col>
      <xdr:colOff>745891</xdr:colOff>
      <xdr:row>26</xdr:row>
      <xdr:rowOff>1429589</xdr:rowOff>
    </xdr:to>
    <xdr:sp macro="" textlink="">
      <xdr:nvSpPr>
        <xdr:cNvPr id="134" name="Овал 13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216941" y="3576188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713612</xdr:colOff>
      <xdr:row>26</xdr:row>
      <xdr:rowOff>1035325</xdr:rowOff>
    </xdr:from>
    <xdr:to>
      <xdr:col>3</xdr:col>
      <xdr:colOff>713613</xdr:colOff>
      <xdr:row>26</xdr:row>
      <xdr:rowOff>1398374</xdr:rowOff>
    </xdr:to>
    <xdr:cxnSp macro="">
      <xdr:nvCxnSpPr>
        <xdr:cNvPr id="135" name="Прямая со стрелкой 13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56662" y="35439625"/>
          <a:ext cx="1" cy="363049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713612</xdr:colOff>
      <xdr:row>26</xdr:row>
      <xdr:rowOff>745434</xdr:rowOff>
    </xdr:from>
    <xdr:to>
      <xdr:col>3</xdr:col>
      <xdr:colOff>713612</xdr:colOff>
      <xdr:row>26</xdr:row>
      <xdr:rowOff>1045787</xdr:rowOff>
    </xdr:to>
    <xdr:cxnSp macro="">
      <xdr:nvCxnSpPr>
        <xdr:cNvPr id="136" name="Прямая со стрелкой 13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56662" y="35149734"/>
          <a:ext cx="0" cy="300353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935132</xdr:colOff>
      <xdr:row>19</xdr:row>
      <xdr:rowOff>49866</xdr:rowOff>
    </xdr:from>
    <xdr:to>
      <xdr:col>5</xdr:col>
      <xdr:colOff>254663</xdr:colOff>
      <xdr:row>19</xdr:row>
      <xdr:rowOff>668991</xdr:rowOff>
    </xdr:to>
    <xdr:pic>
      <xdr:nvPicPr>
        <xdr:cNvPr id="137" name="Рисунок 136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9332" y="23786166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1013570</xdr:colOff>
      <xdr:row>19</xdr:row>
      <xdr:rowOff>732955</xdr:rowOff>
    </xdr:from>
    <xdr:to>
      <xdr:col>5</xdr:col>
      <xdr:colOff>198903</xdr:colOff>
      <xdr:row>19</xdr:row>
      <xdr:rowOff>1298763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37770" y="24469255"/>
          <a:ext cx="566458" cy="565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914400</xdr:colOff>
      <xdr:row>19</xdr:row>
      <xdr:rowOff>752475</xdr:rowOff>
    </xdr:from>
    <xdr:to>
      <xdr:col>3</xdr:col>
      <xdr:colOff>986400</xdr:colOff>
      <xdr:row>19</xdr:row>
      <xdr:rowOff>824475</xdr:rowOff>
    </xdr:to>
    <xdr:sp macro="" textlink="">
      <xdr:nvSpPr>
        <xdr:cNvPr id="139" name="5-конечная звезда 138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7450" y="244887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85725</xdr:colOff>
      <xdr:row>21</xdr:row>
      <xdr:rowOff>409575</xdr:rowOff>
    </xdr:from>
    <xdr:to>
      <xdr:col>3</xdr:col>
      <xdr:colOff>704850</xdr:colOff>
      <xdr:row>21</xdr:row>
      <xdr:rowOff>666750</xdr:rowOff>
    </xdr:to>
    <xdr:cxnSp macro="">
      <xdr:nvCxnSpPr>
        <xdr:cNvPr id="140" name="Прямая со стрелкой 13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28775" y="27193875"/>
          <a:ext cx="619125" cy="257175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733424</xdr:colOff>
      <xdr:row>24</xdr:row>
      <xdr:rowOff>654382</xdr:rowOff>
    </xdr:from>
    <xdr:to>
      <xdr:col>3</xdr:col>
      <xdr:colOff>951139</xdr:colOff>
      <xdr:row>24</xdr:row>
      <xdr:rowOff>926018</xdr:rowOff>
    </xdr:to>
    <xdr:cxnSp macro="">
      <xdr:nvCxnSpPr>
        <xdr:cNvPr id="141" name="Прямая со стрелкой 14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276474" y="32010682"/>
          <a:ext cx="217715" cy="271636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914400</xdr:colOff>
      <xdr:row>21</xdr:row>
      <xdr:rowOff>534761</xdr:rowOff>
    </xdr:from>
    <xdr:to>
      <xdr:col>3</xdr:col>
      <xdr:colOff>986400</xdr:colOff>
      <xdr:row>21</xdr:row>
      <xdr:rowOff>606761</xdr:rowOff>
    </xdr:to>
    <xdr:sp macro="" textlink="">
      <xdr:nvSpPr>
        <xdr:cNvPr id="142" name="5-конечная звезда 141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7450" y="2731906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26581</xdr:colOff>
      <xdr:row>6</xdr:row>
      <xdr:rowOff>123823</xdr:rowOff>
    </xdr:from>
    <xdr:to>
      <xdr:col>10</xdr:col>
      <xdr:colOff>546095</xdr:colOff>
      <xdr:row>6</xdr:row>
      <xdr:rowOff>1409775</xdr:rowOff>
    </xdr:to>
    <xdr:grpSp>
      <xdr:nvGrpSpPr>
        <xdr:cNvPr id="169" name="Группа 168"/>
        <xdr:cNvGrpSpPr/>
      </xdr:nvGrpSpPr>
      <xdr:grpSpPr>
        <a:xfrm rot="504987">
          <a:off x="7467287" y="4068294"/>
          <a:ext cx="1057396" cy="1285952"/>
          <a:chOff x="1920376" y="4068294"/>
          <a:chExt cx="1057396" cy="1285952"/>
        </a:xfrm>
      </xdr:grpSpPr>
      <xdr:cxnSp macro="">
        <xdr:nvCxnSpPr>
          <xdr:cNvPr id="143" name="Прямая со стрелкой 142">
            <a:extLst>
              <a:ext uri="{FF2B5EF4-FFF2-40B4-BE49-F238E27FC236}">
                <a16:creationId xmlns:a16="http://schemas.microsoft.com/office/drawing/2014/main" id="{00000000-0008-0000-0900-00004B020000}"/>
              </a:ext>
            </a:extLst>
          </xdr:cNvPr>
          <xdr:cNvCxnSpPr/>
        </xdr:nvCxnSpPr>
        <xdr:spPr>
          <a:xfrm rot="1338061" flipV="1">
            <a:off x="2369185" y="4369502"/>
            <a:ext cx="608587" cy="589930"/>
          </a:xfrm>
          <a:prstGeom prst="straightConnector1">
            <a:avLst/>
          </a:prstGeom>
          <a:ln w="19050">
            <a:prstDash val="sysDot"/>
            <a:headEnd type="none" w="med" len="lg"/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4" name="Прямая со стрелкой 143">
            <a:extLst>
              <a:ext uri="{FF2B5EF4-FFF2-40B4-BE49-F238E27FC236}">
                <a16:creationId xmlns:a16="http://schemas.microsoft.com/office/drawing/2014/main" id="{00000000-0008-0000-0900-00004B020000}"/>
              </a:ext>
            </a:extLst>
          </xdr:cNvPr>
          <xdr:cNvCxnSpPr/>
        </xdr:nvCxnSpPr>
        <xdr:spPr>
          <a:xfrm rot="1338061" flipH="1">
            <a:off x="1920376" y="4685371"/>
            <a:ext cx="364130" cy="94250"/>
          </a:xfrm>
          <a:prstGeom prst="straightConnector1">
            <a:avLst/>
          </a:prstGeom>
          <a:ln w="19050">
            <a:prstDash val="sysDot"/>
            <a:headEnd type="none" w="med" len="lg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45" name="Овал 144">
            <a:extLst>
              <a:ext uri="{FF2B5EF4-FFF2-40B4-BE49-F238E27FC236}">
                <a16:creationId xmlns:a16="http://schemas.microsoft.com/office/drawing/2014/main" id="{00000000-0008-0000-0900-000034020000}"/>
              </a:ext>
            </a:extLst>
          </xdr:cNvPr>
          <xdr:cNvSpPr/>
        </xdr:nvSpPr>
        <xdr:spPr>
          <a:xfrm rot="1504186">
            <a:off x="2214305" y="5282246"/>
            <a:ext cx="67838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46" name="Прямая соединительная линия 145"/>
          <xdr:cNvCxnSpPr/>
        </xdr:nvCxnSpPr>
        <xdr:spPr>
          <a:xfrm rot="1338061" flipV="1">
            <a:off x="2416908" y="4068294"/>
            <a:ext cx="0" cy="824293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7" name="Полилиния 146"/>
          <xdr:cNvSpPr/>
        </xdr:nvSpPr>
        <xdr:spPr>
          <a:xfrm rot="1338061">
            <a:off x="2170591" y="4878666"/>
            <a:ext cx="175380" cy="440871"/>
          </a:xfrm>
          <a:custGeom>
            <a:avLst/>
            <a:gdLst>
              <a:gd name="connsiteX0" fmla="*/ 0 w 103415"/>
              <a:gd name="connsiteY0" fmla="*/ 0 h 440871"/>
              <a:gd name="connsiteX1" fmla="*/ 27215 w 103415"/>
              <a:gd name="connsiteY1" fmla="*/ 223157 h 440871"/>
              <a:gd name="connsiteX2" fmla="*/ 103415 w 103415"/>
              <a:gd name="connsiteY2" fmla="*/ 440871 h 44087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3415" h="440871">
                <a:moveTo>
                  <a:pt x="0" y="0"/>
                </a:moveTo>
                <a:cubicBezTo>
                  <a:pt x="4989" y="74839"/>
                  <a:pt x="9979" y="149679"/>
                  <a:pt x="27215" y="223157"/>
                </a:cubicBezTo>
                <a:cubicBezTo>
                  <a:pt x="44451" y="296635"/>
                  <a:pt x="73933" y="368753"/>
                  <a:pt x="103415" y="440871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8" name="Полилиния 147"/>
          <xdr:cNvSpPr/>
        </xdr:nvSpPr>
        <xdr:spPr>
          <a:xfrm rot="1338061" flipH="1">
            <a:off x="1969977" y="4814369"/>
            <a:ext cx="205699" cy="440871"/>
          </a:xfrm>
          <a:custGeom>
            <a:avLst/>
            <a:gdLst>
              <a:gd name="connsiteX0" fmla="*/ 0 w 103415"/>
              <a:gd name="connsiteY0" fmla="*/ 0 h 440871"/>
              <a:gd name="connsiteX1" fmla="*/ 27215 w 103415"/>
              <a:gd name="connsiteY1" fmla="*/ 223157 h 440871"/>
              <a:gd name="connsiteX2" fmla="*/ 103415 w 103415"/>
              <a:gd name="connsiteY2" fmla="*/ 440871 h 44087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03415" h="440871">
                <a:moveTo>
                  <a:pt x="0" y="0"/>
                </a:moveTo>
                <a:cubicBezTo>
                  <a:pt x="4989" y="74839"/>
                  <a:pt x="9979" y="149679"/>
                  <a:pt x="27215" y="223157"/>
                </a:cubicBezTo>
                <a:cubicBezTo>
                  <a:pt x="44451" y="296635"/>
                  <a:pt x="73933" y="368753"/>
                  <a:pt x="103415" y="440871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oneCellAnchor>
    <xdr:from>
      <xdr:col>4</xdr:col>
      <xdr:colOff>941293</xdr:colOff>
      <xdr:row>40</xdr:row>
      <xdr:rowOff>368332</xdr:rowOff>
    </xdr:from>
    <xdr:ext cx="609653" cy="609653"/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493" y="56108632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787436</xdr:colOff>
      <xdr:row>40</xdr:row>
      <xdr:rowOff>89647</xdr:rowOff>
    </xdr:from>
    <xdr:to>
      <xdr:col>3</xdr:col>
      <xdr:colOff>787436</xdr:colOff>
      <xdr:row>40</xdr:row>
      <xdr:rowOff>1379187</xdr:rowOff>
    </xdr:to>
    <xdr:cxnSp macro="">
      <xdr:nvCxnSpPr>
        <xdr:cNvPr id="150" name="Прямая со стрелкой 14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0486" y="55829947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746443</xdr:colOff>
      <xdr:row>40</xdr:row>
      <xdr:rowOff>1361491</xdr:rowOff>
    </xdr:from>
    <xdr:to>
      <xdr:col>3</xdr:col>
      <xdr:colOff>818443</xdr:colOff>
      <xdr:row>40</xdr:row>
      <xdr:rowOff>1433491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9493" y="5710179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972326</xdr:colOff>
      <xdr:row>40</xdr:row>
      <xdr:rowOff>739596</xdr:rowOff>
    </xdr:from>
    <xdr:to>
      <xdr:col>3</xdr:col>
      <xdr:colOff>1044326</xdr:colOff>
      <xdr:row>40</xdr:row>
      <xdr:rowOff>811596</xdr:rowOff>
    </xdr:to>
    <xdr:sp macro="" textlink="">
      <xdr:nvSpPr>
        <xdr:cNvPr id="152" name="5-конечная звезда 151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5376" y="564798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537882</xdr:colOff>
      <xdr:row>40</xdr:row>
      <xdr:rowOff>746923</xdr:rowOff>
    </xdr:from>
    <xdr:to>
      <xdr:col>3</xdr:col>
      <xdr:colOff>609882</xdr:colOff>
      <xdr:row>40</xdr:row>
      <xdr:rowOff>818923</xdr:rowOff>
    </xdr:to>
    <xdr:sp macro="" textlink="">
      <xdr:nvSpPr>
        <xdr:cNvPr id="153" name="5-конечная звезда 152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0932" y="5648722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787436</xdr:colOff>
      <xdr:row>38</xdr:row>
      <xdr:rowOff>60339</xdr:rowOff>
    </xdr:from>
    <xdr:to>
      <xdr:col>3</xdr:col>
      <xdr:colOff>787436</xdr:colOff>
      <xdr:row>38</xdr:row>
      <xdr:rowOff>1349879</xdr:rowOff>
    </xdr:to>
    <xdr:cxnSp macro="">
      <xdr:nvCxnSpPr>
        <xdr:cNvPr id="154" name="Прямая со стрелкой 15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0486" y="52752639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783981</xdr:colOff>
      <xdr:row>38</xdr:row>
      <xdr:rowOff>827944</xdr:rowOff>
    </xdr:from>
    <xdr:to>
      <xdr:col>3</xdr:col>
      <xdr:colOff>1077058</xdr:colOff>
      <xdr:row>38</xdr:row>
      <xdr:rowOff>950557</xdr:rowOff>
    </xdr:to>
    <xdr:cxnSp macro="">
      <xdr:nvCxnSpPr>
        <xdr:cNvPr id="155" name="Прямая со стрелкой 154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flipH="1" flipV="1">
          <a:off x="2327031" y="53520244"/>
          <a:ext cx="293077" cy="122613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933877</xdr:colOff>
      <xdr:row>38</xdr:row>
      <xdr:rowOff>707354</xdr:rowOff>
    </xdr:from>
    <xdr:to>
      <xdr:col>3</xdr:col>
      <xdr:colOff>985256</xdr:colOff>
      <xdr:row>38</xdr:row>
      <xdr:rowOff>1087833</xdr:rowOff>
    </xdr:to>
    <xdr:grpSp>
      <xdr:nvGrpSpPr>
        <xdr:cNvPr id="156" name="Группа 155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pSpPr/>
      </xdr:nvGrpSpPr>
      <xdr:grpSpPr>
        <a:xfrm rot="5400000">
          <a:off x="2315739" y="53584375"/>
          <a:ext cx="380479" cy="51379"/>
          <a:chOff x="744834" y="5046016"/>
          <a:chExt cx="380479" cy="51379"/>
        </a:xfrm>
      </xdr:grpSpPr>
      <xdr:cxnSp macro="">
        <xdr:nvCxnSpPr>
          <xdr:cNvPr id="157" name="Прямая со стрелкой 156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158" name="Овал 157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159" name="Овал 158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60" name="Прямая со стрелкой 159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112060</xdr:colOff>
      <xdr:row>39</xdr:row>
      <xdr:rowOff>706170</xdr:rowOff>
    </xdr:from>
    <xdr:to>
      <xdr:col>3</xdr:col>
      <xdr:colOff>773206</xdr:colOff>
      <xdr:row>39</xdr:row>
      <xdr:rowOff>706170</xdr:rowOff>
    </xdr:to>
    <xdr:cxnSp macro="">
      <xdr:nvCxnSpPr>
        <xdr:cNvPr id="161" name="Прямая со стрелкой 16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1655110" y="54922470"/>
          <a:ext cx="661146" cy="0"/>
        </a:xfrm>
        <a:prstGeom prst="straightConnector1">
          <a:avLst/>
        </a:prstGeom>
        <a:ln w="19050">
          <a:prstDash val="sysDot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731954</xdr:colOff>
      <xdr:row>39</xdr:row>
      <xdr:rowOff>1344395</xdr:rowOff>
    </xdr:from>
    <xdr:to>
      <xdr:col>3</xdr:col>
      <xdr:colOff>803954</xdr:colOff>
      <xdr:row>39</xdr:row>
      <xdr:rowOff>1416395</xdr:rowOff>
    </xdr:to>
    <xdr:sp macro="" textlink="">
      <xdr:nvSpPr>
        <xdr:cNvPr id="162" name="Овал 161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5004" y="5556069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769596</xdr:colOff>
      <xdr:row>39</xdr:row>
      <xdr:rowOff>705971</xdr:rowOff>
    </xdr:from>
    <xdr:to>
      <xdr:col>3</xdr:col>
      <xdr:colOff>769596</xdr:colOff>
      <xdr:row>39</xdr:row>
      <xdr:rowOff>1409992</xdr:rowOff>
    </xdr:to>
    <xdr:cxnSp macro="">
      <xdr:nvCxnSpPr>
        <xdr:cNvPr id="163" name="Прямая соединительная линия 162"/>
        <xdr:cNvCxnSpPr/>
      </xdr:nvCxnSpPr>
      <xdr:spPr>
        <a:xfrm rot="16200000" flipH="1">
          <a:off x="1960635" y="55274282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728384</xdr:colOff>
      <xdr:row>39</xdr:row>
      <xdr:rowOff>706170</xdr:rowOff>
    </xdr:from>
    <xdr:to>
      <xdr:col>3</xdr:col>
      <xdr:colOff>1389530</xdr:colOff>
      <xdr:row>39</xdr:row>
      <xdr:rowOff>706170</xdr:rowOff>
    </xdr:to>
    <xdr:cxnSp macro="">
      <xdr:nvCxnSpPr>
        <xdr:cNvPr id="164" name="Прямая со стрелкой 16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71434" y="54922470"/>
          <a:ext cx="661146" cy="0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572696</xdr:colOff>
      <xdr:row>39</xdr:row>
      <xdr:rowOff>368798</xdr:rowOff>
    </xdr:from>
    <xdr:to>
      <xdr:col>3</xdr:col>
      <xdr:colOff>621057</xdr:colOff>
      <xdr:row>39</xdr:row>
      <xdr:rowOff>666078</xdr:rowOff>
    </xdr:to>
    <xdr:grpSp>
      <xdr:nvGrpSpPr>
        <xdr:cNvPr id="165" name="Группа 164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GrpSpPr/>
      </xdr:nvGrpSpPr>
      <xdr:grpSpPr>
        <a:xfrm rot="5400000" flipH="1">
          <a:off x="1994649" y="54729728"/>
          <a:ext cx="297280" cy="48361"/>
          <a:chOff x="797664" y="5410936"/>
          <a:chExt cx="297280" cy="48361"/>
        </a:xfrm>
      </xdr:grpSpPr>
      <xdr:sp macro="" textlink="">
        <xdr:nvSpPr>
          <xdr:cNvPr id="166" name="Овал 165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SpPr/>
        </xdr:nvSpPr>
        <xdr:spPr>
          <a:xfrm>
            <a:off x="1048144" y="5410936"/>
            <a:ext cx="46800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167" name="Прямая со стрелкой 166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CxnSpPr/>
        </xdr:nvCxnSpPr>
        <xdr:spPr>
          <a:xfrm flipH="1">
            <a:off x="797664" y="5438739"/>
            <a:ext cx="246210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799068</xdr:colOff>
      <xdr:row>6</xdr:row>
      <xdr:rowOff>490795</xdr:rowOff>
    </xdr:from>
    <xdr:to>
      <xdr:col>3</xdr:col>
      <xdr:colOff>1407655</xdr:colOff>
      <xdr:row>6</xdr:row>
      <xdr:rowOff>1080725</xdr:rowOff>
    </xdr:to>
    <xdr:cxnSp macro="">
      <xdr:nvCxnSpPr>
        <xdr:cNvPr id="173" name="Прямая со стрелкой 17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5480" y="4435266"/>
          <a:ext cx="608587" cy="589930"/>
        </a:xfrm>
        <a:prstGeom prst="straightConnector1">
          <a:avLst/>
        </a:prstGeom>
        <a:ln w="19050">
          <a:prstDash val="sysDot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418786</xdr:colOff>
      <xdr:row>6</xdr:row>
      <xdr:rowOff>1018268</xdr:rowOff>
    </xdr:from>
    <xdr:to>
      <xdr:col>3</xdr:col>
      <xdr:colOff>782916</xdr:colOff>
      <xdr:row>6</xdr:row>
      <xdr:rowOff>1112518</xdr:rowOff>
    </xdr:to>
    <xdr:cxnSp macro="">
      <xdr:nvCxnSpPr>
        <xdr:cNvPr id="174" name="Прямая со стрелкой 17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965198" y="4962739"/>
          <a:ext cx="364130" cy="94250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758466</xdr:colOff>
      <xdr:row>6</xdr:row>
      <xdr:rowOff>1375521</xdr:rowOff>
    </xdr:from>
    <xdr:to>
      <xdr:col>3</xdr:col>
      <xdr:colOff>830466</xdr:colOff>
      <xdr:row>6</xdr:row>
      <xdr:rowOff>1447521</xdr:rowOff>
    </xdr:to>
    <xdr:sp macro="" textlink="">
      <xdr:nvSpPr>
        <xdr:cNvPr id="175" name="Овал 17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304878" y="53199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796149</xdr:colOff>
      <xdr:row>6</xdr:row>
      <xdr:rowOff>123823</xdr:rowOff>
    </xdr:from>
    <xdr:to>
      <xdr:col>3</xdr:col>
      <xdr:colOff>796149</xdr:colOff>
      <xdr:row>6</xdr:row>
      <xdr:rowOff>1408548</xdr:rowOff>
    </xdr:to>
    <xdr:cxnSp macro="">
      <xdr:nvCxnSpPr>
        <xdr:cNvPr id="176" name="Прямая соединительная линия 175"/>
        <xdr:cNvCxnSpPr/>
      </xdr:nvCxnSpPr>
      <xdr:spPr>
        <a:xfrm flipV="1">
          <a:off x="2342561" y="4068294"/>
          <a:ext cx="0" cy="12847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21</xdr:row>
      <xdr:rowOff>9525</xdr:rowOff>
    </xdr:from>
    <xdr:to>
      <xdr:col>1</xdr:col>
      <xdr:colOff>476329</xdr:colOff>
      <xdr:row>22</xdr:row>
      <xdr:rowOff>239692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276850"/>
          <a:ext cx="914479" cy="49686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0</xdr:rowOff>
    </xdr:from>
    <xdr:to>
      <xdr:col>1</xdr:col>
      <xdr:colOff>476329</xdr:colOff>
      <xdr:row>1</xdr:row>
      <xdr:rowOff>230167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0"/>
          <a:ext cx="914479" cy="49686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0</xdr:rowOff>
    </xdr:from>
    <xdr:to>
      <xdr:col>2</xdr:col>
      <xdr:colOff>704929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0"/>
          <a:ext cx="914479" cy="49686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1</xdr:col>
      <xdr:colOff>466804</xdr:colOff>
      <xdr:row>1</xdr:row>
      <xdr:rowOff>230167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914479" cy="4968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1</xdr:col>
      <xdr:colOff>457279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914479" cy="4968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146957</xdr:colOff>
      <xdr:row>0</xdr:row>
      <xdr:rowOff>2722</xdr:rowOff>
    </xdr:from>
    <xdr:to>
      <xdr:col>2</xdr:col>
      <xdr:colOff>402877</xdr:colOff>
      <xdr:row>3</xdr:row>
      <xdr:rowOff>11052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" y="2722"/>
          <a:ext cx="1217945" cy="665555"/>
        </a:xfrm>
        <a:prstGeom prst="rect">
          <a:avLst/>
        </a:prstGeom>
      </xdr:spPr>
    </xdr:pic>
    <xdr:clientData/>
  </xdr:twoCellAnchor>
  <xdr:twoCellAnchor>
    <xdr:from>
      <xdr:col>4</xdr:col>
      <xdr:colOff>7387</xdr:colOff>
      <xdr:row>4</xdr:row>
      <xdr:rowOff>113333</xdr:rowOff>
    </xdr:from>
    <xdr:to>
      <xdr:col>4</xdr:col>
      <xdr:colOff>7387</xdr:colOff>
      <xdr:row>4</xdr:row>
      <xdr:rowOff>2957844</xdr:rowOff>
    </xdr:to>
    <xdr:sp macro="" textlink="">
      <xdr:nvSpPr>
        <xdr:cNvPr id="45" name="Прямоугольник 44"/>
        <xdr:cNvSpPr/>
      </xdr:nvSpPr>
      <xdr:spPr>
        <a:xfrm>
          <a:off x="3141978" y="1013878"/>
          <a:ext cx="0" cy="2844511"/>
        </a:xfrm>
        <a:custGeom>
          <a:avLst/>
          <a:gdLst>
            <a:gd name="connsiteX0" fmla="*/ 0 w 1433079"/>
            <a:gd name="connsiteY0" fmla="*/ 0 h 2844511"/>
            <a:gd name="connsiteX1" fmla="*/ 1433079 w 1433079"/>
            <a:gd name="connsiteY1" fmla="*/ 0 h 2844511"/>
            <a:gd name="connsiteX2" fmla="*/ 1433079 w 1433079"/>
            <a:gd name="connsiteY2" fmla="*/ 2844511 h 2844511"/>
            <a:gd name="connsiteX3" fmla="*/ 0 w 1433079"/>
            <a:gd name="connsiteY3" fmla="*/ 2844511 h 2844511"/>
            <a:gd name="connsiteX4" fmla="*/ 0 w 1433079"/>
            <a:gd name="connsiteY4" fmla="*/ 0 h 2844511"/>
            <a:gd name="connsiteX0" fmla="*/ 0 w 1433079"/>
            <a:gd name="connsiteY0" fmla="*/ 0 h 2844511"/>
            <a:gd name="connsiteX1" fmla="*/ 1433079 w 1433079"/>
            <a:gd name="connsiteY1" fmla="*/ 0 h 2844511"/>
            <a:gd name="connsiteX2" fmla="*/ 1433079 w 1433079"/>
            <a:gd name="connsiteY2" fmla="*/ 2844511 h 2844511"/>
            <a:gd name="connsiteX3" fmla="*/ 0 w 1433079"/>
            <a:gd name="connsiteY3" fmla="*/ 2844511 h 2844511"/>
            <a:gd name="connsiteX4" fmla="*/ 91440 w 1433079"/>
            <a:gd name="connsiteY4" fmla="*/ 91440 h 2844511"/>
            <a:gd name="connsiteX0" fmla="*/ 0 w 1433079"/>
            <a:gd name="connsiteY0" fmla="*/ 0 h 2844511"/>
            <a:gd name="connsiteX1" fmla="*/ 1433079 w 1433079"/>
            <a:gd name="connsiteY1" fmla="*/ 0 h 2844511"/>
            <a:gd name="connsiteX2" fmla="*/ 1433079 w 1433079"/>
            <a:gd name="connsiteY2" fmla="*/ 2844511 h 2844511"/>
            <a:gd name="connsiteX3" fmla="*/ 0 w 1433079"/>
            <a:gd name="connsiteY3" fmla="*/ 2844511 h 2844511"/>
            <a:gd name="connsiteX0" fmla="*/ 0 w 1433079"/>
            <a:gd name="connsiteY0" fmla="*/ 0 h 2844511"/>
            <a:gd name="connsiteX1" fmla="*/ 1433079 w 1433079"/>
            <a:gd name="connsiteY1" fmla="*/ 0 h 2844511"/>
            <a:gd name="connsiteX2" fmla="*/ 1433079 w 1433079"/>
            <a:gd name="connsiteY2" fmla="*/ 2844511 h 2844511"/>
            <a:gd name="connsiteX3" fmla="*/ 0 w 1433079"/>
            <a:gd name="connsiteY3" fmla="*/ 2844511 h 2844511"/>
            <a:gd name="connsiteX0" fmla="*/ 1433079 w 1433079"/>
            <a:gd name="connsiteY0" fmla="*/ 0 h 2844511"/>
            <a:gd name="connsiteX1" fmla="*/ 1433079 w 1433079"/>
            <a:gd name="connsiteY1" fmla="*/ 2844511 h 2844511"/>
            <a:gd name="connsiteX2" fmla="*/ 0 w 1433079"/>
            <a:gd name="connsiteY2" fmla="*/ 2844511 h 2844511"/>
            <a:gd name="connsiteX0" fmla="*/ 0 w 0"/>
            <a:gd name="connsiteY0" fmla="*/ 0 h 2844511"/>
            <a:gd name="connsiteX1" fmla="*/ 0 w 0"/>
            <a:gd name="connsiteY1" fmla="*/ 2844511 h 28445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h="2844511">
              <a:moveTo>
                <a:pt x="0" y="0"/>
              </a:moveTo>
              <a:lnTo>
                <a:pt x="0" y="2844511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232997</xdr:colOff>
      <xdr:row>5</xdr:row>
      <xdr:rowOff>312804</xdr:rowOff>
    </xdr:from>
    <xdr:to>
      <xdr:col>3</xdr:col>
      <xdr:colOff>1476375</xdr:colOff>
      <xdr:row>5</xdr:row>
      <xdr:rowOff>1200150</xdr:rowOff>
    </xdr:to>
    <xdr:cxnSp macro="">
      <xdr:nvCxnSpPr>
        <xdr:cNvPr id="9" name="Прямая со стрелкой 8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>
          <a:off x="1779409" y="4257275"/>
          <a:ext cx="1243378" cy="887346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820810</xdr:colOff>
      <xdr:row>5</xdr:row>
      <xdr:rowOff>729343</xdr:rowOff>
    </xdr:from>
    <xdr:to>
      <xdr:col>3</xdr:col>
      <xdr:colOff>820810</xdr:colOff>
      <xdr:row>5</xdr:row>
      <xdr:rowOff>1427183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id="{00000000-0008-0000-0900-0000A9010000}"/>
            </a:ext>
          </a:extLst>
        </xdr:cNvPr>
        <xdr:cNvCxnSpPr/>
      </xdr:nvCxnSpPr>
      <xdr:spPr>
        <a:xfrm flipV="1">
          <a:off x="2367222" y="4673814"/>
          <a:ext cx="0" cy="697840"/>
        </a:xfrm>
        <a:prstGeom prst="straightConnector1">
          <a:avLst/>
        </a:prstGeom>
        <a:ln w="19050"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786255</xdr:colOff>
      <xdr:row>5</xdr:row>
      <xdr:rowOff>1374935</xdr:rowOff>
    </xdr:from>
    <xdr:to>
      <xdr:col>3</xdr:col>
      <xdr:colOff>858255</xdr:colOff>
      <xdr:row>5</xdr:row>
      <xdr:rowOff>1446935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10328559" flipH="1">
          <a:off x="2332667" y="531940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881428</xdr:colOff>
      <xdr:row>5</xdr:row>
      <xdr:rowOff>929400</xdr:rowOff>
    </xdr:from>
    <xdr:to>
      <xdr:col>3</xdr:col>
      <xdr:colOff>953428</xdr:colOff>
      <xdr:row>5</xdr:row>
      <xdr:rowOff>1001400</xdr:rowOff>
    </xdr:to>
    <xdr:sp macro="" textlink="">
      <xdr:nvSpPr>
        <xdr:cNvPr id="127" name="5-конечная звезда 126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SpPr/>
      </xdr:nvSpPr>
      <xdr:spPr>
        <a:xfrm>
          <a:off x="2427840" y="487387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824593</xdr:colOff>
      <xdr:row>6</xdr:row>
      <xdr:rowOff>50346</xdr:rowOff>
    </xdr:from>
    <xdr:to>
      <xdr:col>3</xdr:col>
      <xdr:colOff>938893</xdr:colOff>
      <xdr:row>6</xdr:row>
      <xdr:rowOff>802821</xdr:rowOff>
    </xdr:to>
    <xdr:cxnSp macro="">
      <xdr:nvCxnSpPr>
        <xdr:cNvPr id="328" name="Прямая со стрелкой 327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flipH="1">
          <a:off x="2371005" y="5518817"/>
          <a:ext cx="114300" cy="752475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829093</xdr:colOff>
      <xdr:row>6</xdr:row>
      <xdr:rowOff>774224</xdr:rowOff>
    </xdr:from>
    <xdr:to>
      <xdr:col>3</xdr:col>
      <xdr:colOff>829093</xdr:colOff>
      <xdr:row>6</xdr:row>
      <xdr:rowOff>1416295</xdr:rowOff>
    </xdr:to>
    <xdr:cxnSp macro="">
      <xdr:nvCxnSpPr>
        <xdr:cNvPr id="329" name="Прямая со стрелкой 328">
          <a:extLst>
            <a:ext uri="{FF2B5EF4-FFF2-40B4-BE49-F238E27FC236}">
              <a16:creationId xmlns:a16="http://schemas.microsoft.com/office/drawing/2014/main" id="{00000000-0008-0000-0900-0000A9010000}"/>
            </a:ext>
          </a:extLst>
        </xdr:cNvPr>
        <xdr:cNvCxnSpPr/>
      </xdr:nvCxnSpPr>
      <xdr:spPr>
        <a:xfrm flipV="1">
          <a:off x="2369658" y="6207615"/>
          <a:ext cx="0" cy="642071"/>
        </a:xfrm>
        <a:prstGeom prst="straightConnector1">
          <a:avLst/>
        </a:prstGeom>
        <a:ln w="19050"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794538</xdr:colOff>
      <xdr:row>6</xdr:row>
      <xdr:rowOff>1364048</xdr:rowOff>
    </xdr:from>
    <xdr:to>
      <xdr:col>3</xdr:col>
      <xdr:colOff>866538</xdr:colOff>
      <xdr:row>6</xdr:row>
      <xdr:rowOff>1436048</xdr:rowOff>
    </xdr:to>
    <xdr:sp macro="" textlink="">
      <xdr:nvSpPr>
        <xdr:cNvPr id="330" name="Овал 329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10328559" flipH="1">
          <a:off x="2335103" y="679743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695325</xdr:colOff>
      <xdr:row>6</xdr:row>
      <xdr:rowOff>88447</xdr:rowOff>
    </xdr:from>
    <xdr:to>
      <xdr:col>3</xdr:col>
      <xdr:colOff>819150</xdr:colOff>
      <xdr:row>6</xdr:row>
      <xdr:rowOff>783772</xdr:rowOff>
    </xdr:to>
    <xdr:cxnSp macro="">
      <xdr:nvCxnSpPr>
        <xdr:cNvPr id="333" name="Прямая со стрелкой 332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>
          <a:off x="2241737" y="5556918"/>
          <a:ext cx="123825" cy="69532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616618</xdr:colOff>
      <xdr:row>7</xdr:row>
      <xdr:rowOff>305802</xdr:rowOff>
    </xdr:from>
    <xdr:to>
      <xdr:col>3</xdr:col>
      <xdr:colOff>774286</xdr:colOff>
      <xdr:row>7</xdr:row>
      <xdr:rowOff>509622</xdr:rowOff>
    </xdr:to>
    <xdr:cxnSp macro="">
      <xdr:nvCxnSpPr>
        <xdr:cNvPr id="340" name="Прямая со стрелкой 339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>
          <a:off x="2160671" y="7284118"/>
          <a:ext cx="157668" cy="203820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590464</xdr:colOff>
      <xdr:row>7</xdr:row>
      <xdr:rowOff>517964</xdr:rowOff>
    </xdr:from>
    <xdr:to>
      <xdr:col>3</xdr:col>
      <xdr:colOff>1084385</xdr:colOff>
      <xdr:row>7</xdr:row>
      <xdr:rowOff>1011885</xdr:rowOff>
    </xdr:to>
    <xdr:sp macro="" textlink="">
      <xdr:nvSpPr>
        <xdr:cNvPr id="343" name="Овал 342"/>
        <xdr:cNvSpPr/>
      </xdr:nvSpPr>
      <xdr:spPr>
        <a:xfrm>
          <a:off x="2129118" y="7493195"/>
          <a:ext cx="493921" cy="493921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796118</xdr:colOff>
      <xdr:row>7</xdr:row>
      <xdr:rowOff>1347469</xdr:rowOff>
    </xdr:from>
    <xdr:to>
      <xdr:col>3</xdr:col>
      <xdr:colOff>868118</xdr:colOff>
      <xdr:row>7</xdr:row>
      <xdr:rowOff>1419469</xdr:rowOff>
    </xdr:to>
    <xdr:sp macro="" textlink="">
      <xdr:nvSpPr>
        <xdr:cNvPr id="365" name="Овал 364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10328559" flipH="1">
          <a:off x="2340171" y="832578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1051891</xdr:colOff>
      <xdr:row>5</xdr:row>
      <xdr:rowOff>339588</xdr:rowOff>
    </xdr:from>
    <xdr:to>
      <xdr:col>4</xdr:col>
      <xdr:colOff>1350066</xdr:colOff>
      <xdr:row>5</xdr:row>
      <xdr:rowOff>1205024</xdr:rowOff>
    </xdr:to>
    <xdr:grpSp>
      <xdr:nvGrpSpPr>
        <xdr:cNvPr id="367" name="Группа 366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4176091" y="4263888"/>
          <a:ext cx="298175" cy="865436"/>
          <a:chOff x="635632" y="15053070"/>
          <a:chExt cx="102554" cy="297657"/>
        </a:xfrm>
      </xdr:grpSpPr>
      <xdr:sp macro="" textlink="">
        <xdr:nvSpPr>
          <xdr:cNvPr id="368" name="Прямоугольник 367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69" name="Овал 368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70" name="Овал 369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71" name="Овал 370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325648</xdr:colOff>
      <xdr:row>4</xdr:row>
      <xdr:rowOff>2498627</xdr:rowOff>
    </xdr:from>
    <xdr:to>
      <xdr:col>4</xdr:col>
      <xdr:colOff>469943</xdr:colOff>
      <xdr:row>4</xdr:row>
      <xdr:rowOff>2642508</xdr:rowOff>
    </xdr:to>
    <xdr:sp macro="" textlink="">
      <xdr:nvSpPr>
        <xdr:cNvPr id="111" name="Овал 110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3449848" y="3374927"/>
          <a:ext cx="144295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590076</xdr:colOff>
      <xdr:row>4</xdr:row>
      <xdr:rowOff>2365446</xdr:rowOff>
    </xdr:from>
    <xdr:to>
      <xdr:col>5</xdr:col>
      <xdr:colOff>381347</xdr:colOff>
      <xdr:row>4</xdr:row>
      <xdr:rowOff>2963222</xdr:rowOff>
    </xdr:to>
    <xdr:sp macro="" textlink="">
      <xdr:nvSpPr>
        <xdr:cNvPr id="17" name="Полилиния 16"/>
        <xdr:cNvSpPr/>
      </xdr:nvSpPr>
      <xdr:spPr>
        <a:xfrm>
          <a:off x="3724667" y="3265991"/>
          <a:ext cx="1176725" cy="597776"/>
        </a:xfrm>
        <a:custGeom>
          <a:avLst/>
          <a:gdLst>
            <a:gd name="connsiteX0" fmla="*/ 0 w 630621"/>
            <a:gd name="connsiteY0" fmla="*/ 584638 h 584638"/>
            <a:gd name="connsiteX1" fmla="*/ 6569 w 630621"/>
            <a:gd name="connsiteY1" fmla="*/ 0 h 584638"/>
            <a:gd name="connsiteX2" fmla="*/ 617483 w 630621"/>
            <a:gd name="connsiteY2" fmla="*/ 308741 h 584638"/>
            <a:gd name="connsiteX3" fmla="*/ 630621 w 630621"/>
            <a:gd name="connsiteY3" fmla="*/ 584638 h 584638"/>
            <a:gd name="connsiteX0" fmla="*/ 0 w 630621"/>
            <a:gd name="connsiteY0" fmla="*/ 584638 h 584638"/>
            <a:gd name="connsiteX1" fmla="*/ 6569 w 630621"/>
            <a:gd name="connsiteY1" fmla="*/ 0 h 584638"/>
            <a:gd name="connsiteX2" fmla="*/ 617483 w 630621"/>
            <a:gd name="connsiteY2" fmla="*/ 308741 h 584638"/>
            <a:gd name="connsiteX3" fmla="*/ 630621 w 630621"/>
            <a:gd name="connsiteY3" fmla="*/ 584638 h 584638"/>
            <a:gd name="connsiteX4" fmla="*/ 0 w 630621"/>
            <a:gd name="connsiteY4" fmla="*/ 584638 h 584638"/>
            <a:gd name="connsiteX0" fmla="*/ 0 w 630621"/>
            <a:gd name="connsiteY0" fmla="*/ 584638 h 676078"/>
            <a:gd name="connsiteX1" fmla="*/ 6569 w 630621"/>
            <a:gd name="connsiteY1" fmla="*/ 0 h 676078"/>
            <a:gd name="connsiteX2" fmla="*/ 617483 w 630621"/>
            <a:gd name="connsiteY2" fmla="*/ 308741 h 676078"/>
            <a:gd name="connsiteX3" fmla="*/ 630621 w 630621"/>
            <a:gd name="connsiteY3" fmla="*/ 584638 h 676078"/>
            <a:gd name="connsiteX4" fmla="*/ 91440 w 630621"/>
            <a:gd name="connsiteY4" fmla="*/ 676078 h 676078"/>
            <a:gd name="connsiteX0" fmla="*/ 0 w 630621"/>
            <a:gd name="connsiteY0" fmla="*/ 584638 h 584638"/>
            <a:gd name="connsiteX1" fmla="*/ 6569 w 630621"/>
            <a:gd name="connsiteY1" fmla="*/ 0 h 584638"/>
            <a:gd name="connsiteX2" fmla="*/ 617483 w 630621"/>
            <a:gd name="connsiteY2" fmla="*/ 308741 h 584638"/>
            <a:gd name="connsiteX3" fmla="*/ 630621 w 630621"/>
            <a:gd name="connsiteY3" fmla="*/ 584638 h 584638"/>
            <a:gd name="connsiteX0" fmla="*/ 16823 w 647444"/>
            <a:gd name="connsiteY0" fmla="*/ 584638 h 584638"/>
            <a:gd name="connsiteX1" fmla="*/ 160 w 647444"/>
            <a:gd name="connsiteY1" fmla="*/ 0 h 584638"/>
            <a:gd name="connsiteX2" fmla="*/ 634306 w 647444"/>
            <a:gd name="connsiteY2" fmla="*/ 308741 h 584638"/>
            <a:gd name="connsiteX3" fmla="*/ 647444 w 647444"/>
            <a:gd name="connsiteY3" fmla="*/ 584638 h 584638"/>
            <a:gd name="connsiteX0" fmla="*/ 16663 w 647284"/>
            <a:gd name="connsiteY0" fmla="*/ 584638 h 584638"/>
            <a:gd name="connsiteX1" fmla="*/ 0 w 647284"/>
            <a:gd name="connsiteY1" fmla="*/ 0 h 584638"/>
            <a:gd name="connsiteX2" fmla="*/ 634146 w 647284"/>
            <a:gd name="connsiteY2" fmla="*/ 308741 h 584638"/>
            <a:gd name="connsiteX3" fmla="*/ 647284 w 647284"/>
            <a:gd name="connsiteY3" fmla="*/ 584638 h 584638"/>
            <a:gd name="connsiteX0" fmla="*/ 0 w 630621"/>
            <a:gd name="connsiteY0" fmla="*/ 584638 h 584638"/>
            <a:gd name="connsiteX1" fmla="*/ 6569 w 630621"/>
            <a:gd name="connsiteY1" fmla="*/ 0 h 584638"/>
            <a:gd name="connsiteX2" fmla="*/ 617483 w 630621"/>
            <a:gd name="connsiteY2" fmla="*/ 308741 h 584638"/>
            <a:gd name="connsiteX3" fmla="*/ 630621 w 630621"/>
            <a:gd name="connsiteY3" fmla="*/ 584638 h 584638"/>
            <a:gd name="connsiteX0" fmla="*/ 2098 w 632719"/>
            <a:gd name="connsiteY0" fmla="*/ 584638 h 584638"/>
            <a:gd name="connsiteX1" fmla="*/ 8667 w 632719"/>
            <a:gd name="connsiteY1" fmla="*/ 0 h 584638"/>
            <a:gd name="connsiteX2" fmla="*/ 619581 w 632719"/>
            <a:gd name="connsiteY2" fmla="*/ 308741 h 584638"/>
            <a:gd name="connsiteX3" fmla="*/ 632719 w 632719"/>
            <a:gd name="connsiteY3" fmla="*/ 584638 h 584638"/>
            <a:gd name="connsiteX0" fmla="*/ 0 w 630621"/>
            <a:gd name="connsiteY0" fmla="*/ 584638 h 584638"/>
            <a:gd name="connsiteX1" fmla="*/ 6569 w 630621"/>
            <a:gd name="connsiteY1" fmla="*/ 0 h 584638"/>
            <a:gd name="connsiteX2" fmla="*/ 617483 w 630621"/>
            <a:gd name="connsiteY2" fmla="*/ 308741 h 584638"/>
            <a:gd name="connsiteX3" fmla="*/ 630621 w 630621"/>
            <a:gd name="connsiteY3" fmla="*/ 584638 h 584638"/>
            <a:gd name="connsiteX0" fmla="*/ 16291 w 624052"/>
            <a:gd name="connsiteY0" fmla="*/ 580828 h 584638"/>
            <a:gd name="connsiteX1" fmla="*/ 0 w 624052"/>
            <a:gd name="connsiteY1" fmla="*/ 0 h 584638"/>
            <a:gd name="connsiteX2" fmla="*/ 610914 w 624052"/>
            <a:gd name="connsiteY2" fmla="*/ 308741 h 584638"/>
            <a:gd name="connsiteX3" fmla="*/ 624052 w 624052"/>
            <a:gd name="connsiteY3" fmla="*/ 584638 h 584638"/>
            <a:gd name="connsiteX0" fmla="*/ 16291 w 624052"/>
            <a:gd name="connsiteY0" fmla="*/ 580828 h 584638"/>
            <a:gd name="connsiteX1" fmla="*/ 0 w 624052"/>
            <a:gd name="connsiteY1" fmla="*/ 0 h 584638"/>
            <a:gd name="connsiteX2" fmla="*/ 610914 w 624052"/>
            <a:gd name="connsiteY2" fmla="*/ 308741 h 584638"/>
            <a:gd name="connsiteX3" fmla="*/ 624052 w 624052"/>
            <a:gd name="connsiteY3" fmla="*/ 584638 h 584638"/>
            <a:gd name="connsiteX0" fmla="*/ 12481 w 624052"/>
            <a:gd name="connsiteY0" fmla="*/ 565588 h 584638"/>
            <a:gd name="connsiteX1" fmla="*/ 0 w 624052"/>
            <a:gd name="connsiteY1" fmla="*/ 0 h 584638"/>
            <a:gd name="connsiteX2" fmla="*/ 610914 w 624052"/>
            <a:gd name="connsiteY2" fmla="*/ 308741 h 584638"/>
            <a:gd name="connsiteX3" fmla="*/ 624052 w 624052"/>
            <a:gd name="connsiteY3" fmla="*/ 584638 h 584638"/>
            <a:gd name="connsiteX0" fmla="*/ 4861 w 624052"/>
            <a:gd name="connsiteY0" fmla="*/ 569398 h 584638"/>
            <a:gd name="connsiteX1" fmla="*/ 0 w 624052"/>
            <a:gd name="connsiteY1" fmla="*/ 0 h 584638"/>
            <a:gd name="connsiteX2" fmla="*/ 610914 w 624052"/>
            <a:gd name="connsiteY2" fmla="*/ 308741 h 584638"/>
            <a:gd name="connsiteX3" fmla="*/ 624052 w 624052"/>
            <a:gd name="connsiteY3" fmla="*/ 584638 h 584638"/>
            <a:gd name="connsiteX0" fmla="*/ 4861 w 612622"/>
            <a:gd name="connsiteY0" fmla="*/ 569398 h 588448"/>
            <a:gd name="connsiteX1" fmla="*/ 0 w 612622"/>
            <a:gd name="connsiteY1" fmla="*/ 0 h 588448"/>
            <a:gd name="connsiteX2" fmla="*/ 610914 w 612622"/>
            <a:gd name="connsiteY2" fmla="*/ 308741 h 588448"/>
            <a:gd name="connsiteX3" fmla="*/ 612622 w 612622"/>
            <a:gd name="connsiteY3" fmla="*/ 588448 h 588448"/>
            <a:gd name="connsiteX0" fmla="*/ 4861 w 610914"/>
            <a:gd name="connsiteY0" fmla="*/ 569398 h 569398"/>
            <a:gd name="connsiteX1" fmla="*/ 0 w 610914"/>
            <a:gd name="connsiteY1" fmla="*/ 0 h 569398"/>
            <a:gd name="connsiteX2" fmla="*/ 610914 w 610914"/>
            <a:gd name="connsiteY2" fmla="*/ 308741 h 569398"/>
            <a:gd name="connsiteX0" fmla="*/ 4861 w 1175845"/>
            <a:gd name="connsiteY0" fmla="*/ 569398 h 597776"/>
            <a:gd name="connsiteX1" fmla="*/ 0 w 1175845"/>
            <a:gd name="connsiteY1" fmla="*/ 0 h 597776"/>
            <a:gd name="connsiteX2" fmla="*/ 1175845 w 1175845"/>
            <a:gd name="connsiteY2" fmla="*/ 597776 h 5977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75845" h="597776">
              <a:moveTo>
                <a:pt x="4861" y="569398"/>
              </a:moveTo>
              <a:cubicBezTo>
                <a:pt x="3241" y="286889"/>
                <a:pt x="6731" y="339659"/>
                <a:pt x="0" y="0"/>
              </a:cubicBezTo>
              <a:lnTo>
                <a:pt x="1175845" y="597776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401871</xdr:colOff>
      <xdr:row>4</xdr:row>
      <xdr:rowOff>63998</xdr:rowOff>
    </xdr:from>
    <xdr:to>
      <xdr:col>4</xdr:col>
      <xdr:colOff>401871</xdr:colOff>
      <xdr:row>4</xdr:row>
      <xdr:rowOff>2581275</xdr:rowOff>
    </xdr:to>
    <xdr:cxnSp macro="">
      <xdr:nvCxnSpPr>
        <xdr:cNvPr id="142" name="Прямая со стрелкой 14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3526071" y="940298"/>
          <a:ext cx="0" cy="2517277"/>
        </a:xfrm>
        <a:prstGeom prst="straightConnector1">
          <a:avLst/>
        </a:prstGeom>
        <a:ln w="34925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146563</xdr:colOff>
      <xdr:row>4</xdr:row>
      <xdr:rowOff>1127456</xdr:rowOff>
    </xdr:from>
    <xdr:to>
      <xdr:col>3</xdr:col>
      <xdr:colOff>1427400</xdr:colOff>
      <xdr:row>4</xdr:row>
      <xdr:rowOff>2971999</xdr:rowOff>
    </xdr:to>
    <xdr:sp macro="" textlink="">
      <xdr:nvSpPr>
        <xdr:cNvPr id="35" name="TextBox 34"/>
        <xdr:cNvSpPr txBox="1"/>
      </xdr:nvSpPr>
      <xdr:spPr>
        <a:xfrm>
          <a:off x="1689613" y="2003756"/>
          <a:ext cx="1280837" cy="1844543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000" b="1"/>
            <a:t>Точка сбора "Северная"</a:t>
          </a:r>
        </a:p>
        <a:p>
          <a:pPr algn="l"/>
          <a:endParaRPr lang="ru-RU" sz="1000" b="1"/>
        </a:p>
        <a:p>
          <a:pPr algn="l"/>
          <a:r>
            <a:rPr lang="ru-RU" sz="1000" b="1"/>
            <a:t>Площадка</a:t>
          </a:r>
          <a:r>
            <a:rPr lang="ru-RU" sz="1000" b="1" baseline="0"/>
            <a:t> </a:t>
          </a:r>
          <a:r>
            <a:rPr lang="ru-RU" sz="1000" b="1"/>
            <a:t>возле Авиазавода</a:t>
          </a:r>
        </a:p>
        <a:p>
          <a:pPr algn="l"/>
          <a:endParaRPr lang="ru-RU" sz="1000" b="1"/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54.816925</a:t>
          </a:r>
          <a:r>
            <a:rPr lang="ru-RU" sz="10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32.038769</a:t>
          </a:r>
        </a:p>
        <a:p>
          <a:pPr algn="l"/>
          <a:endParaRPr lang="ru-RU" sz="1000" b="1"/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54°49'00.9"N 32°02'19.6"E</a:t>
          </a:r>
        </a:p>
        <a:p>
          <a:pPr algn="l"/>
          <a:endParaRPr lang="ru-RU" sz="1000" b="1"/>
        </a:p>
      </xdr:txBody>
    </xdr:sp>
    <xdr:clientData/>
  </xdr:twoCellAnchor>
  <xdr:twoCellAnchor>
    <xdr:from>
      <xdr:col>4</xdr:col>
      <xdr:colOff>440489</xdr:colOff>
      <xdr:row>4</xdr:row>
      <xdr:rowOff>1047344</xdr:rowOff>
    </xdr:from>
    <xdr:to>
      <xdr:col>6</xdr:col>
      <xdr:colOff>51646</xdr:colOff>
      <xdr:row>4</xdr:row>
      <xdr:rowOff>1335577</xdr:rowOff>
    </xdr:to>
    <xdr:sp macro="" textlink="">
      <xdr:nvSpPr>
        <xdr:cNvPr id="143" name="Прямоугольник 142"/>
        <xdr:cNvSpPr/>
      </xdr:nvSpPr>
      <xdr:spPr>
        <a:xfrm rot="390348">
          <a:off x="3575080" y="1947889"/>
          <a:ext cx="2104975" cy="288233"/>
        </a:xfrm>
        <a:prstGeom prst="rect">
          <a:avLst/>
        </a:prstGeom>
        <a:noFill/>
        <a:ln w="38100">
          <a:noFill/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0">
              <a:solidFill>
                <a:sysClr val="windowText" lastClr="000000"/>
              </a:solidFill>
            </a:rPr>
            <a:t>ул. Маршала Ерёменко</a:t>
          </a:r>
        </a:p>
      </xdr:txBody>
    </xdr:sp>
    <xdr:clientData/>
  </xdr:twoCellAnchor>
  <xdr:twoCellAnchor>
    <xdr:from>
      <xdr:col>4</xdr:col>
      <xdr:colOff>37009</xdr:colOff>
      <xdr:row>4</xdr:row>
      <xdr:rowOff>54498</xdr:rowOff>
    </xdr:from>
    <xdr:to>
      <xdr:col>4</xdr:col>
      <xdr:colOff>326072</xdr:colOff>
      <xdr:row>4</xdr:row>
      <xdr:rowOff>1197036</xdr:rowOff>
    </xdr:to>
    <xdr:sp macro="" textlink="">
      <xdr:nvSpPr>
        <xdr:cNvPr id="144" name="Прямоугольник 143"/>
        <xdr:cNvSpPr/>
      </xdr:nvSpPr>
      <xdr:spPr>
        <a:xfrm rot="16200000">
          <a:off x="2744863" y="1381780"/>
          <a:ext cx="1142538" cy="289063"/>
        </a:xfrm>
        <a:prstGeom prst="rect">
          <a:avLst/>
        </a:prstGeom>
        <a:noFill/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0">
              <a:solidFill>
                <a:sysClr val="windowText" lastClr="000000"/>
              </a:solidFill>
            </a:rPr>
            <a:t>ул. Фрунзе</a:t>
          </a:r>
        </a:p>
      </xdr:txBody>
    </xdr:sp>
    <xdr:clientData/>
  </xdr:twoCellAnchor>
  <xdr:twoCellAnchor>
    <xdr:from>
      <xdr:col>3</xdr:col>
      <xdr:colOff>1428090</xdr:colOff>
      <xdr:row>4</xdr:row>
      <xdr:rowOff>2060913</xdr:rowOff>
    </xdr:from>
    <xdr:to>
      <xdr:col>4</xdr:col>
      <xdr:colOff>281210</xdr:colOff>
      <xdr:row>4</xdr:row>
      <xdr:rowOff>2491609</xdr:rowOff>
    </xdr:to>
    <xdr:sp macro="" textlink="">
      <xdr:nvSpPr>
        <xdr:cNvPr id="47" name="Полилиния 46"/>
        <xdr:cNvSpPr/>
      </xdr:nvSpPr>
      <xdr:spPr>
        <a:xfrm flipH="1">
          <a:off x="2971140" y="2937213"/>
          <a:ext cx="434270" cy="430696"/>
        </a:xfrm>
        <a:custGeom>
          <a:avLst/>
          <a:gdLst>
            <a:gd name="connsiteX0" fmla="*/ 343580 w 343580"/>
            <a:gd name="connsiteY0" fmla="*/ 0 h 496660"/>
            <a:gd name="connsiteX1" fmla="*/ 0 w 343580"/>
            <a:gd name="connsiteY1" fmla="*/ 496660 h 496660"/>
            <a:gd name="connsiteX2" fmla="*/ 340178 w 343580"/>
            <a:gd name="connsiteY2" fmla="*/ 425223 h 496660"/>
            <a:gd name="connsiteX3" fmla="*/ 343580 w 343580"/>
            <a:gd name="connsiteY3" fmla="*/ 0 h 496660"/>
            <a:gd name="connsiteX0" fmla="*/ 343580 w 343580"/>
            <a:gd name="connsiteY0" fmla="*/ 0 h 541981"/>
            <a:gd name="connsiteX1" fmla="*/ 0 w 343580"/>
            <a:gd name="connsiteY1" fmla="*/ 496660 h 541981"/>
            <a:gd name="connsiteX2" fmla="*/ 278726 w 343580"/>
            <a:gd name="connsiteY2" fmla="*/ 541981 h 541981"/>
            <a:gd name="connsiteX3" fmla="*/ 343580 w 343580"/>
            <a:gd name="connsiteY3" fmla="*/ 0 h 541981"/>
            <a:gd name="connsiteX0" fmla="*/ 349725 w 349725"/>
            <a:gd name="connsiteY0" fmla="*/ 0 h 581924"/>
            <a:gd name="connsiteX1" fmla="*/ 0 w 349725"/>
            <a:gd name="connsiteY1" fmla="*/ 536603 h 581924"/>
            <a:gd name="connsiteX2" fmla="*/ 278726 w 349725"/>
            <a:gd name="connsiteY2" fmla="*/ 581924 h 581924"/>
            <a:gd name="connsiteX3" fmla="*/ 349725 w 349725"/>
            <a:gd name="connsiteY3" fmla="*/ 0 h 581924"/>
            <a:gd name="connsiteX0" fmla="*/ 349725 w 349725"/>
            <a:gd name="connsiteY0" fmla="*/ 0 h 536603"/>
            <a:gd name="connsiteX1" fmla="*/ 0 w 349725"/>
            <a:gd name="connsiteY1" fmla="*/ 536603 h 536603"/>
            <a:gd name="connsiteX2" fmla="*/ 343250 w 349725"/>
            <a:gd name="connsiteY2" fmla="*/ 480529 h 536603"/>
            <a:gd name="connsiteX3" fmla="*/ 349725 w 349725"/>
            <a:gd name="connsiteY3" fmla="*/ 0 h 536603"/>
            <a:gd name="connsiteX0" fmla="*/ 349725 w 349725"/>
            <a:gd name="connsiteY0" fmla="*/ 0 h 374678"/>
            <a:gd name="connsiteX1" fmla="*/ 0 w 349725"/>
            <a:gd name="connsiteY1" fmla="*/ 374678 h 374678"/>
            <a:gd name="connsiteX2" fmla="*/ 343250 w 349725"/>
            <a:gd name="connsiteY2" fmla="*/ 318604 h 374678"/>
            <a:gd name="connsiteX3" fmla="*/ 349725 w 349725"/>
            <a:gd name="connsiteY3" fmla="*/ 0 h 3746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49725" h="374678">
              <a:moveTo>
                <a:pt x="349725" y="0"/>
              </a:moveTo>
              <a:lnTo>
                <a:pt x="0" y="374678"/>
              </a:lnTo>
              <a:lnTo>
                <a:pt x="343250" y="318604"/>
              </a:lnTo>
              <a:cubicBezTo>
                <a:pt x="345408" y="158428"/>
                <a:pt x="347567" y="160176"/>
                <a:pt x="349725" y="0"/>
              </a:cubicBezTo>
              <a:close/>
            </a:path>
          </a:pathLst>
        </a:cu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850331</xdr:colOff>
      <xdr:row>7</xdr:row>
      <xdr:rowOff>642070</xdr:rowOff>
    </xdr:from>
    <xdr:to>
      <xdr:col>3</xdr:col>
      <xdr:colOff>1485435</xdr:colOff>
      <xdr:row>7</xdr:row>
      <xdr:rowOff>1390862</xdr:rowOff>
    </xdr:to>
    <xdr:sp macro="" textlink="">
      <xdr:nvSpPr>
        <xdr:cNvPr id="100" name="Полилиния 99"/>
        <xdr:cNvSpPr/>
      </xdr:nvSpPr>
      <xdr:spPr>
        <a:xfrm>
          <a:off x="2394384" y="7620386"/>
          <a:ext cx="635104" cy="748792"/>
        </a:xfrm>
        <a:custGeom>
          <a:avLst/>
          <a:gdLst>
            <a:gd name="connsiteX0" fmla="*/ 0 w 636985"/>
            <a:gd name="connsiteY0" fmla="*/ 738187 h 738187"/>
            <a:gd name="connsiteX1" fmla="*/ 190500 w 636985"/>
            <a:gd name="connsiteY1" fmla="*/ 184546 h 738187"/>
            <a:gd name="connsiteX2" fmla="*/ 636985 w 636985"/>
            <a:gd name="connsiteY2" fmla="*/ 0 h 738187"/>
            <a:gd name="connsiteX0" fmla="*/ 0 w 695600"/>
            <a:gd name="connsiteY0" fmla="*/ 701553 h 701553"/>
            <a:gd name="connsiteX1" fmla="*/ 249115 w 695600"/>
            <a:gd name="connsiteY1" fmla="*/ 184546 h 701553"/>
            <a:gd name="connsiteX2" fmla="*/ 695600 w 695600"/>
            <a:gd name="connsiteY2" fmla="*/ 0 h 701553"/>
            <a:gd name="connsiteX0" fmla="*/ 0 w 680946"/>
            <a:gd name="connsiteY0" fmla="*/ 752841 h 752841"/>
            <a:gd name="connsiteX1" fmla="*/ 249115 w 680946"/>
            <a:gd name="connsiteY1" fmla="*/ 235834 h 752841"/>
            <a:gd name="connsiteX2" fmla="*/ 680946 w 680946"/>
            <a:gd name="connsiteY2" fmla="*/ 0 h 752841"/>
            <a:gd name="connsiteX0" fmla="*/ 0 w 688273"/>
            <a:gd name="connsiteY0" fmla="*/ 855418 h 855418"/>
            <a:gd name="connsiteX1" fmla="*/ 249115 w 688273"/>
            <a:gd name="connsiteY1" fmla="*/ 338411 h 855418"/>
            <a:gd name="connsiteX2" fmla="*/ 688273 w 688273"/>
            <a:gd name="connsiteY2" fmla="*/ 0 h 855418"/>
            <a:gd name="connsiteX0" fmla="*/ 0 w 688273"/>
            <a:gd name="connsiteY0" fmla="*/ 855418 h 855418"/>
            <a:gd name="connsiteX1" fmla="*/ 205154 w 688273"/>
            <a:gd name="connsiteY1" fmla="*/ 353065 h 855418"/>
            <a:gd name="connsiteX2" fmla="*/ 688273 w 688273"/>
            <a:gd name="connsiteY2" fmla="*/ 0 h 855418"/>
            <a:gd name="connsiteX0" fmla="*/ 0 w 688273"/>
            <a:gd name="connsiteY0" fmla="*/ 855418 h 855418"/>
            <a:gd name="connsiteX1" fmla="*/ 205154 w 688273"/>
            <a:gd name="connsiteY1" fmla="*/ 353065 h 855418"/>
            <a:gd name="connsiteX2" fmla="*/ 625078 w 688273"/>
            <a:gd name="connsiteY2" fmla="*/ 91586 h 855418"/>
            <a:gd name="connsiteX3" fmla="*/ 688273 w 688273"/>
            <a:gd name="connsiteY3" fmla="*/ 0 h 855418"/>
            <a:gd name="connsiteX0" fmla="*/ 0 w 625078"/>
            <a:gd name="connsiteY0" fmla="*/ 763832 h 763832"/>
            <a:gd name="connsiteX1" fmla="*/ 205154 w 625078"/>
            <a:gd name="connsiteY1" fmla="*/ 261479 h 763832"/>
            <a:gd name="connsiteX2" fmla="*/ 625078 w 625078"/>
            <a:gd name="connsiteY2" fmla="*/ 0 h 763832"/>
            <a:gd name="connsiteX0" fmla="*/ 0 w 620065"/>
            <a:gd name="connsiteY0" fmla="*/ 743779 h 743779"/>
            <a:gd name="connsiteX1" fmla="*/ 205154 w 620065"/>
            <a:gd name="connsiteY1" fmla="*/ 241426 h 743779"/>
            <a:gd name="connsiteX2" fmla="*/ 620065 w 620065"/>
            <a:gd name="connsiteY2" fmla="*/ 0 h 743779"/>
            <a:gd name="connsiteX0" fmla="*/ 0 w 620065"/>
            <a:gd name="connsiteY0" fmla="*/ 743779 h 743779"/>
            <a:gd name="connsiteX1" fmla="*/ 205154 w 620065"/>
            <a:gd name="connsiteY1" fmla="*/ 241426 h 743779"/>
            <a:gd name="connsiteX2" fmla="*/ 620065 w 620065"/>
            <a:gd name="connsiteY2" fmla="*/ 0 h 743779"/>
            <a:gd name="connsiteX0" fmla="*/ 0 w 655157"/>
            <a:gd name="connsiteY0" fmla="*/ 773858 h 773858"/>
            <a:gd name="connsiteX1" fmla="*/ 205154 w 655157"/>
            <a:gd name="connsiteY1" fmla="*/ 271505 h 773858"/>
            <a:gd name="connsiteX2" fmla="*/ 655157 w 655157"/>
            <a:gd name="connsiteY2" fmla="*/ 0 h 773858"/>
            <a:gd name="connsiteX0" fmla="*/ 0 w 635104"/>
            <a:gd name="connsiteY0" fmla="*/ 748792 h 748792"/>
            <a:gd name="connsiteX1" fmla="*/ 205154 w 635104"/>
            <a:gd name="connsiteY1" fmla="*/ 246439 h 748792"/>
            <a:gd name="connsiteX2" fmla="*/ 635104 w 635104"/>
            <a:gd name="connsiteY2" fmla="*/ 0 h 7487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35104" h="748792">
              <a:moveTo>
                <a:pt x="0" y="748792"/>
              </a:moveTo>
              <a:cubicBezTo>
                <a:pt x="42168" y="533487"/>
                <a:pt x="98990" y="369470"/>
                <a:pt x="205154" y="246439"/>
              </a:cubicBezTo>
              <a:cubicBezTo>
                <a:pt x="311776" y="105701"/>
                <a:pt x="519492" y="43805"/>
                <a:pt x="63510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290038</xdr:colOff>
      <xdr:row>7</xdr:row>
      <xdr:rowOff>664483</xdr:rowOff>
    </xdr:from>
    <xdr:to>
      <xdr:col>3</xdr:col>
      <xdr:colOff>833895</xdr:colOff>
      <xdr:row>7</xdr:row>
      <xdr:rowOff>1416842</xdr:rowOff>
    </xdr:to>
    <xdr:sp macro="" textlink="">
      <xdr:nvSpPr>
        <xdr:cNvPr id="168" name="Полилиния 167"/>
        <xdr:cNvSpPr/>
      </xdr:nvSpPr>
      <xdr:spPr>
        <a:xfrm>
          <a:off x="1834091" y="7642799"/>
          <a:ext cx="543857" cy="752359"/>
        </a:xfrm>
        <a:custGeom>
          <a:avLst/>
          <a:gdLst>
            <a:gd name="connsiteX0" fmla="*/ 0 w 684610"/>
            <a:gd name="connsiteY0" fmla="*/ 0 h 666750"/>
            <a:gd name="connsiteX1" fmla="*/ 517922 w 684610"/>
            <a:gd name="connsiteY1" fmla="*/ 142875 h 666750"/>
            <a:gd name="connsiteX2" fmla="*/ 684610 w 684610"/>
            <a:gd name="connsiteY2" fmla="*/ 666750 h 666750"/>
            <a:gd name="connsiteX0" fmla="*/ 0 w 750552"/>
            <a:gd name="connsiteY0" fmla="*/ 0 h 666750"/>
            <a:gd name="connsiteX1" fmla="*/ 517922 w 750552"/>
            <a:gd name="connsiteY1" fmla="*/ 142875 h 666750"/>
            <a:gd name="connsiteX2" fmla="*/ 750552 w 750552"/>
            <a:gd name="connsiteY2" fmla="*/ 666750 h 666750"/>
            <a:gd name="connsiteX0" fmla="*/ 0 w 647975"/>
            <a:gd name="connsiteY0" fmla="*/ 0 h 762000"/>
            <a:gd name="connsiteX1" fmla="*/ 415345 w 647975"/>
            <a:gd name="connsiteY1" fmla="*/ 238125 h 762000"/>
            <a:gd name="connsiteX2" fmla="*/ 647975 w 647975"/>
            <a:gd name="connsiteY2" fmla="*/ 762000 h 762000"/>
            <a:gd name="connsiteX0" fmla="*/ 0 w 662629"/>
            <a:gd name="connsiteY0" fmla="*/ 0 h 805962"/>
            <a:gd name="connsiteX1" fmla="*/ 429999 w 662629"/>
            <a:gd name="connsiteY1" fmla="*/ 282087 h 805962"/>
            <a:gd name="connsiteX2" fmla="*/ 662629 w 662629"/>
            <a:gd name="connsiteY2" fmla="*/ 805962 h 805962"/>
            <a:gd name="connsiteX0" fmla="*/ 0 w 604014"/>
            <a:gd name="connsiteY0" fmla="*/ 0 h 747346"/>
            <a:gd name="connsiteX1" fmla="*/ 371384 w 604014"/>
            <a:gd name="connsiteY1" fmla="*/ 223471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406789 w 604014"/>
            <a:gd name="connsiteY2" fmla="*/ 242898 h 747346"/>
            <a:gd name="connsiteX3" fmla="*/ 604014 w 604014"/>
            <a:gd name="connsiteY3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406789 w 604014"/>
            <a:gd name="connsiteY2" fmla="*/ 242898 h 747346"/>
            <a:gd name="connsiteX3" fmla="*/ 604014 w 604014"/>
            <a:gd name="connsiteY3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311539 w 604014"/>
            <a:gd name="connsiteY1" fmla="*/ 112555 h 747346"/>
            <a:gd name="connsiteX2" fmla="*/ 416503 w 604014"/>
            <a:gd name="connsiteY2" fmla="*/ 218458 h 747346"/>
            <a:gd name="connsiteX3" fmla="*/ 604014 w 604014"/>
            <a:gd name="connsiteY3" fmla="*/ 747346 h 747346"/>
            <a:gd name="connsiteX0" fmla="*/ 0 w 604014"/>
            <a:gd name="connsiteY0" fmla="*/ 0 h 747346"/>
            <a:gd name="connsiteX1" fmla="*/ 416503 w 604014"/>
            <a:gd name="connsiteY1" fmla="*/ 218458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396450 w 604014"/>
            <a:gd name="connsiteY1" fmla="*/ 243524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381411 w 604014"/>
            <a:gd name="connsiteY1" fmla="*/ 228484 h 747346"/>
            <a:gd name="connsiteX2" fmla="*/ 604014 w 604014"/>
            <a:gd name="connsiteY2" fmla="*/ 747346 h 747346"/>
            <a:gd name="connsiteX0" fmla="*/ 0 w 604014"/>
            <a:gd name="connsiteY0" fmla="*/ 0 h 747346"/>
            <a:gd name="connsiteX1" fmla="*/ 401463 w 604014"/>
            <a:gd name="connsiteY1" fmla="*/ 228484 h 747346"/>
            <a:gd name="connsiteX2" fmla="*/ 604014 w 604014"/>
            <a:gd name="connsiteY2" fmla="*/ 747346 h 747346"/>
            <a:gd name="connsiteX0" fmla="*/ 0 w 473672"/>
            <a:gd name="connsiteY0" fmla="*/ 0 h 762385"/>
            <a:gd name="connsiteX1" fmla="*/ 271121 w 473672"/>
            <a:gd name="connsiteY1" fmla="*/ 243523 h 762385"/>
            <a:gd name="connsiteX2" fmla="*/ 473672 w 473672"/>
            <a:gd name="connsiteY2" fmla="*/ 762385 h 762385"/>
            <a:gd name="connsiteX0" fmla="*/ 0 w 543857"/>
            <a:gd name="connsiteY0" fmla="*/ 0 h 752359"/>
            <a:gd name="connsiteX1" fmla="*/ 341306 w 543857"/>
            <a:gd name="connsiteY1" fmla="*/ 233497 h 752359"/>
            <a:gd name="connsiteX2" fmla="*/ 543857 w 543857"/>
            <a:gd name="connsiteY2" fmla="*/ 752359 h 752359"/>
            <a:gd name="connsiteX0" fmla="*/ 0 w 543857"/>
            <a:gd name="connsiteY0" fmla="*/ 0 h 752359"/>
            <a:gd name="connsiteX1" fmla="*/ 341306 w 543857"/>
            <a:gd name="connsiteY1" fmla="*/ 233497 h 752359"/>
            <a:gd name="connsiteX2" fmla="*/ 543857 w 543857"/>
            <a:gd name="connsiteY2" fmla="*/ 752359 h 7523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43857" h="752359">
              <a:moveTo>
                <a:pt x="0" y="0"/>
              </a:moveTo>
              <a:cubicBezTo>
                <a:pt x="141916" y="20446"/>
                <a:pt x="240637" y="108939"/>
                <a:pt x="341306" y="233497"/>
              </a:cubicBezTo>
              <a:cubicBezTo>
                <a:pt x="441975" y="358055"/>
                <a:pt x="504792" y="642174"/>
                <a:pt x="543857" y="752359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75148</xdr:colOff>
      <xdr:row>7</xdr:row>
      <xdr:rowOff>507916</xdr:rowOff>
    </xdr:from>
    <xdr:to>
      <xdr:col>3</xdr:col>
      <xdr:colOff>1502018</xdr:colOff>
      <xdr:row>7</xdr:row>
      <xdr:rowOff>672877</xdr:rowOff>
    </xdr:to>
    <xdr:sp macro="" textlink="">
      <xdr:nvSpPr>
        <xdr:cNvPr id="102" name="Полилиния 101"/>
        <xdr:cNvSpPr/>
      </xdr:nvSpPr>
      <xdr:spPr>
        <a:xfrm>
          <a:off x="1619201" y="7486232"/>
          <a:ext cx="1426870" cy="164961"/>
        </a:xfrm>
        <a:custGeom>
          <a:avLst/>
          <a:gdLst>
            <a:gd name="connsiteX0" fmla="*/ 1416844 w 1416844"/>
            <a:gd name="connsiteY0" fmla="*/ 125115 h 142974"/>
            <a:gd name="connsiteX1" fmla="*/ 726281 w 1416844"/>
            <a:gd name="connsiteY1" fmla="*/ 99 h 142974"/>
            <a:gd name="connsiteX2" fmla="*/ 0 w 1416844"/>
            <a:gd name="connsiteY2" fmla="*/ 142974 h 142974"/>
            <a:gd name="connsiteX0" fmla="*/ 1431498 w 1431498"/>
            <a:gd name="connsiteY0" fmla="*/ 234958 h 234958"/>
            <a:gd name="connsiteX1" fmla="*/ 726281 w 1431498"/>
            <a:gd name="connsiteY1" fmla="*/ 38 h 234958"/>
            <a:gd name="connsiteX2" fmla="*/ 0 w 1431498"/>
            <a:gd name="connsiteY2" fmla="*/ 142913 h 234958"/>
            <a:gd name="connsiteX0" fmla="*/ 1416844 w 1416844"/>
            <a:gd name="connsiteY0" fmla="*/ 132433 h 142965"/>
            <a:gd name="connsiteX1" fmla="*/ 726281 w 1416844"/>
            <a:gd name="connsiteY1" fmla="*/ 90 h 142965"/>
            <a:gd name="connsiteX2" fmla="*/ 0 w 1416844"/>
            <a:gd name="connsiteY2" fmla="*/ 142965 h 142965"/>
            <a:gd name="connsiteX0" fmla="*/ 1431498 w 1431498"/>
            <a:gd name="connsiteY0" fmla="*/ 132433 h 230888"/>
            <a:gd name="connsiteX1" fmla="*/ 740935 w 1431498"/>
            <a:gd name="connsiteY1" fmla="*/ 90 h 230888"/>
            <a:gd name="connsiteX2" fmla="*/ 0 w 1431498"/>
            <a:gd name="connsiteY2" fmla="*/ 230888 h 230888"/>
            <a:gd name="connsiteX0" fmla="*/ 1438825 w 1438825"/>
            <a:gd name="connsiteY0" fmla="*/ 132433 h 260196"/>
            <a:gd name="connsiteX1" fmla="*/ 748262 w 1438825"/>
            <a:gd name="connsiteY1" fmla="*/ 90 h 260196"/>
            <a:gd name="connsiteX2" fmla="*/ 0 w 1438825"/>
            <a:gd name="connsiteY2" fmla="*/ 260196 h 260196"/>
            <a:gd name="connsiteX0" fmla="*/ 1438825 w 1438825"/>
            <a:gd name="connsiteY0" fmla="*/ 33828 h 161591"/>
            <a:gd name="connsiteX1" fmla="*/ 748262 w 1438825"/>
            <a:gd name="connsiteY1" fmla="*/ 18716 h 161591"/>
            <a:gd name="connsiteX2" fmla="*/ 0 w 1438825"/>
            <a:gd name="connsiteY2" fmla="*/ 161591 h 161591"/>
            <a:gd name="connsiteX0" fmla="*/ 1416844 w 1416844"/>
            <a:gd name="connsiteY0" fmla="*/ 117802 h 142988"/>
            <a:gd name="connsiteX1" fmla="*/ 748262 w 1416844"/>
            <a:gd name="connsiteY1" fmla="*/ 113 h 142988"/>
            <a:gd name="connsiteX2" fmla="*/ 0 w 1416844"/>
            <a:gd name="connsiteY2" fmla="*/ 142988 h 142988"/>
            <a:gd name="connsiteX0" fmla="*/ 1416844 w 1416844"/>
            <a:gd name="connsiteY0" fmla="*/ 117802 h 142988"/>
            <a:gd name="connsiteX1" fmla="*/ 748262 w 1416844"/>
            <a:gd name="connsiteY1" fmla="*/ 113 h 142988"/>
            <a:gd name="connsiteX2" fmla="*/ 0 w 1416844"/>
            <a:gd name="connsiteY2" fmla="*/ 142988 h 142988"/>
            <a:gd name="connsiteX0" fmla="*/ 1416844 w 1416844"/>
            <a:gd name="connsiteY0" fmla="*/ 130715 h 155901"/>
            <a:gd name="connsiteX1" fmla="*/ 786730 w 1416844"/>
            <a:gd name="connsiteY1" fmla="*/ 19893 h 155901"/>
            <a:gd name="connsiteX2" fmla="*/ 748262 w 1416844"/>
            <a:gd name="connsiteY2" fmla="*/ 13026 h 155901"/>
            <a:gd name="connsiteX3" fmla="*/ 0 w 1416844"/>
            <a:gd name="connsiteY3" fmla="*/ 155901 h 155901"/>
            <a:gd name="connsiteX0" fmla="*/ 1416844 w 1416844"/>
            <a:gd name="connsiteY0" fmla="*/ 194447 h 219633"/>
            <a:gd name="connsiteX1" fmla="*/ 1017335 w 1416844"/>
            <a:gd name="connsiteY1" fmla="*/ 3415 h 219633"/>
            <a:gd name="connsiteX2" fmla="*/ 748262 w 1416844"/>
            <a:gd name="connsiteY2" fmla="*/ 76758 h 219633"/>
            <a:gd name="connsiteX3" fmla="*/ 0 w 1416844"/>
            <a:gd name="connsiteY3" fmla="*/ 219633 h 219633"/>
            <a:gd name="connsiteX0" fmla="*/ 1416844 w 1416844"/>
            <a:gd name="connsiteY0" fmla="*/ 117689 h 142875"/>
            <a:gd name="connsiteX1" fmla="*/ 748262 w 1416844"/>
            <a:gd name="connsiteY1" fmla="*/ 0 h 142875"/>
            <a:gd name="connsiteX2" fmla="*/ 0 w 1416844"/>
            <a:gd name="connsiteY2" fmla="*/ 142875 h 142875"/>
            <a:gd name="connsiteX0" fmla="*/ 1416844 w 1416844"/>
            <a:gd name="connsiteY0" fmla="*/ 77583 h 102769"/>
            <a:gd name="connsiteX1" fmla="*/ 748262 w 1416844"/>
            <a:gd name="connsiteY1" fmla="*/ 0 h 102769"/>
            <a:gd name="connsiteX2" fmla="*/ 0 w 1416844"/>
            <a:gd name="connsiteY2" fmla="*/ 102769 h 102769"/>
            <a:gd name="connsiteX0" fmla="*/ 1416844 w 1416844"/>
            <a:gd name="connsiteY0" fmla="*/ 127715 h 127715"/>
            <a:gd name="connsiteX1" fmla="*/ 748262 w 1416844"/>
            <a:gd name="connsiteY1" fmla="*/ 0 h 127715"/>
            <a:gd name="connsiteX2" fmla="*/ 0 w 1416844"/>
            <a:gd name="connsiteY2" fmla="*/ 102769 h 127715"/>
            <a:gd name="connsiteX0" fmla="*/ 1426870 w 1426870"/>
            <a:gd name="connsiteY0" fmla="*/ 127715 h 157914"/>
            <a:gd name="connsiteX1" fmla="*/ 758288 w 1426870"/>
            <a:gd name="connsiteY1" fmla="*/ 0 h 157914"/>
            <a:gd name="connsiteX2" fmla="*/ 0 w 1426870"/>
            <a:gd name="connsiteY2" fmla="*/ 157914 h 157914"/>
            <a:gd name="connsiteX0" fmla="*/ 1426870 w 1426870"/>
            <a:gd name="connsiteY0" fmla="*/ 127759 h 157958"/>
            <a:gd name="connsiteX1" fmla="*/ 758288 w 1426870"/>
            <a:gd name="connsiteY1" fmla="*/ 44 h 157958"/>
            <a:gd name="connsiteX2" fmla="*/ 190549 w 1426870"/>
            <a:gd name="connsiteY2" fmla="*/ 113727 h 157958"/>
            <a:gd name="connsiteX3" fmla="*/ 0 w 1426870"/>
            <a:gd name="connsiteY3" fmla="*/ 157958 h 157958"/>
            <a:gd name="connsiteX0" fmla="*/ 1426870 w 1426870"/>
            <a:gd name="connsiteY0" fmla="*/ 127747 h 164961"/>
            <a:gd name="connsiteX1" fmla="*/ 758288 w 1426870"/>
            <a:gd name="connsiteY1" fmla="*/ 32 h 164961"/>
            <a:gd name="connsiteX2" fmla="*/ 205588 w 1426870"/>
            <a:gd name="connsiteY2" fmla="*/ 153821 h 164961"/>
            <a:gd name="connsiteX3" fmla="*/ 0 w 1426870"/>
            <a:gd name="connsiteY3" fmla="*/ 157946 h 1649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26870" h="164961">
              <a:moveTo>
                <a:pt x="1426870" y="127747"/>
              </a:moveTo>
              <a:lnTo>
                <a:pt x="758288" y="32"/>
              </a:lnTo>
              <a:cubicBezTo>
                <a:pt x="552235" y="-2307"/>
                <a:pt x="331969" y="127502"/>
                <a:pt x="205588" y="153821"/>
              </a:cubicBezTo>
              <a:cubicBezTo>
                <a:pt x="79207" y="180140"/>
                <a:pt x="31758" y="150574"/>
                <a:pt x="0" y="157946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813110</xdr:colOff>
      <xdr:row>7</xdr:row>
      <xdr:rowOff>980379</xdr:rowOff>
    </xdr:from>
    <xdr:to>
      <xdr:col>3</xdr:col>
      <xdr:colOff>885110</xdr:colOff>
      <xdr:row>7</xdr:row>
      <xdr:rowOff>1052379</xdr:rowOff>
    </xdr:to>
    <xdr:sp macro="" textlink="">
      <xdr:nvSpPr>
        <xdr:cNvPr id="2" name="Прямоугольник 1"/>
        <xdr:cNvSpPr/>
      </xdr:nvSpPr>
      <xdr:spPr>
        <a:xfrm>
          <a:off x="2355695" y="7949891"/>
          <a:ext cx="72000" cy="72000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596967</xdr:colOff>
      <xdr:row>4</xdr:row>
      <xdr:rowOff>126987</xdr:rowOff>
    </xdr:from>
    <xdr:to>
      <xdr:col>5</xdr:col>
      <xdr:colOff>995874</xdr:colOff>
      <xdr:row>4</xdr:row>
      <xdr:rowOff>1057507</xdr:rowOff>
    </xdr:to>
    <xdr:sp macro="" textlink="">
      <xdr:nvSpPr>
        <xdr:cNvPr id="4" name="Полилиния 3"/>
        <xdr:cNvSpPr/>
      </xdr:nvSpPr>
      <xdr:spPr>
        <a:xfrm>
          <a:off x="3731558" y="1027532"/>
          <a:ext cx="1784361" cy="930520"/>
        </a:xfrm>
        <a:custGeom>
          <a:avLst/>
          <a:gdLst>
            <a:gd name="connsiteX0" fmla="*/ 0 w 1831730"/>
            <a:gd name="connsiteY0" fmla="*/ 0 h 930520"/>
            <a:gd name="connsiteX1" fmla="*/ 0 w 1831730"/>
            <a:gd name="connsiteY1" fmla="*/ 747346 h 930520"/>
            <a:gd name="connsiteX2" fmla="*/ 1831730 w 1831730"/>
            <a:gd name="connsiteY2" fmla="*/ 930520 h 930520"/>
            <a:gd name="connsiteX0" fmla="*/ 0 w 1787769"/>
            <a:gd name="connsiteY0" fmla="*/ 0 h 930520"/>
            <a:gd name="connsiteX1" fmla="*/ 0 w 1787769"/>
            <a:gd name="connsiteY1" fmla="*/ 747346 h 930520"/>
            <a:gd name="connsiteX2" fmla="*/ 1787769 w 1787769"/>
            <a:gd name="connsiteY2" fmla="*/ 930520 h 9305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87769" h="930520">
              <a:moveTo>
                <a:pt x="0" y="0"/>
              </a:moveTo>
              <a:lnTo>
                <a:pt x="0" y="747346"/>
              </a:lnTo>
              <a:lnTo>
                <a:pt x="1787769" y="93052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604294</xdr:colOff>
      <xdr:row>4</xdr:row>
      <xdr:rowOff>1343257</xdr:rowOff>
    </xdr:from>
    <xdr:to>
      <xdr:col>5</xdr:col>
      <xdr:colOff>995874</xdr:colOff>
      <xdr:row>4</xdr:row>
      <xdr:rowOff>2977160</xdr:rowOff>
    </xdr:to>
    <xdr:sp macro="" textlink="">
      <xdr:nvSpPr>
        <xdr:cNvPr id="6" name="Полилиния 5"/>
        <xdr:cNvSpPr/>
      </xdr:nvSpPr>
      <xdr:spPr>
        <a:xfrm>
          <a:off x="3738885" y="2243802"/>
          <a:ext cx="1777034" cy="1633903"/>
        </a:xfrm>
        <a:custGeom>
          <a:avLst/>
          <a:gdLst>
            <a:gd name="connsiteX0" fmla="*/ 1707173 w 1780442"/>
            <a:gd name="connsiteY0" fmla="*/ 1633903 h 1633903"/>
            <a:gd name="connsiteX1" fmla="*/ 813289 w 1780442"/>
            <a:gd name="connsiteY1" fmla="*/ 1194288 h 1633903"/>
            <a:gd name="connsiteX2" fmla="*/ 879231 w 1780442"/>
            <a:gd name="connsiteY2" fmla="*/ 930519 h 1633903"/>
            <a:gd name="connsiteX3" fmla="*/ 241789 w 1780442"/>
            <a:gd name="connsiteY3" fmla="*/ 630115 h 1633903"/>
            <a:gd name="connsiteX4" fmla="*/ 175846 w 1780442"/>
            <a:gd name="connsiteY4" fmla="*/ 893884 h 1633903"/>
            <a:gd name="connsiteX5" fmla="*/ 0 w 1780442"/>
            <a:gd name="connsiteY5" fmla="*/ 827942 h 1633903"/>
            <a:gd name="connsiteX6" fmla="*/ 0 w 1780442"/>
            <a:gd name="connsiteY6" fmla="*/ 0 h 1633903"/>
            <a:gd name="connsiteX7" fmla="*/ 1780442 w 1780442"/>
            <a:gd name="connsiteY7" fmla="*/ 190500 h 1633903"/>
            <a:gd name="connsiteX0" fmla="*/ 1707173 w 1780442"/>
            <a:gd name="connsiteY0" fmla="*/ 1633903 h 1633903"/>
            <a:gd name="connsiteX1" fmla="*/ 813289 w 1780442"/>
            <a:gd name="connsiteY1" fmla="*/ 1194288 h 1633903"/>
            <a:gd name="connsiteX2" fmla="*/ 879231 w 1780442"/>
            <a:gd name="connsiteY2" fmla="*/ 930519 h 1633903"/>
            <a:gd name="connsiteX3" fmla="*/ 271096 w 1780442"/>
            <a:gd name="connsiteY3" fmla="*/ 652096 h 1633903"/>
            <a:gd name="connsiteX4" fmla="*/ 175846 w 1780442"/>
            <a:gd name="connsiteY4" fmla="*/ 893884 h 1633903"/>
            <a:gd name="connsiteX5" fmla="*/ 0 w 1780442"/>
            <a:gd name="connsiteY5" fmla="*/ 827942 h 1633903"/>
            <a:gd name="connsiteX6" fmla="*/ 0 w 1780442"/>
            <a:gd name="connsiteY6" fmla="*/ 0 h 1633903"/>
            <a:gd name="connsiteX7" fmla="*/ 1780442 w 1780442"/>
            <a:gd name="connsiteY7" fmla="*/ 190500 h 1633903"/>
            <a:gd name="connsiteX0" fmla="*/ 1707173 w 1780442"/>
            <a:gd name="connsiteY0" fmla="*/ 1633903 h 1633903"/>
            <a:gd name="connsiteX1" fmla="*/ 813289 w 1780442"/>
            <a:gd name="connsiteY1" fmla="*/ 1194288 h 1633903"/>
            <a:gd name="connsiteX2" fmla="*/ 923192 w 1780442"/>
            <a:gd name="connsiteY2" fmla="*/ 952499 h 1633903"/>
            <a:gd name="connsiteX3" fmla="*/ 271096 w 1780442"/>
            <a:gd name="connsiteY3" fmla="*/ 652096 h 1633903"/>
            <a:gd name="connsiteX4" fmla="*/ 175846 w 1780442"/>
            <a:gd name="connsiteY4" fmla="*/ 893884 h 1633903"/>
            <a:gd name="connsiteX5" fmla="*/ 0 w 1780442"/>
            <a:gd name="connsiteY5" fmla="*/ 827942 h 1633903"/>
            <a:gd name="connsiteX6" fmla="*/ 0 w 1780442"/>
            <a:gd name="connsiteY6" fmla="*/ 0 h 1633903"/>
            <a:gd name="connsiteX7" fmla="*/ 1780442 w 1780442"/>
            <a:gd name="connsiteY7" fmla="*/ 190500 h 1633903"/>
            <a:gd name="connsiteX0" fmla="*/ 1707173 w 1780442"/>
            <a:gd name="connsiteY0" fmla="*/ 1633903 h 1633903"/>
            <a:gd name="connsiteX1" fmla="*/ 813289 w 1780442"/>
            <a:gd name="connsiteY1" fmla="*/ 1194288 h 1633903"/>
            <a:gd name="connsiteX2" fmla="*/ 923192 w 1780442"/>
            <a:gd name="connsiteY2" fmla="*/ 952499 h 1633903"/>
            <a:gd name="connsiteX3" fmla="*/ 271096 w 1780442"/>
            <a:gd name="connsiteY3" fmla="*/ 652096 h 1633903"/>
            <a:gd name="connsiteX4" fmla="*/ 181297 w 1780442"/>
            <a:gd name="connsiteY4" fmla="*/ 893884 h 1633903"/>
            <a:gd name="connsiteX5" fmla="*/ 0 w 1780442"/>
            <a:gd name="connsiteY5" fmla="*/ 827942 h 1633903"/>
            <a:gd name="connsiteX6" fmla="*/ 0 w 1780442"/>
            <a:gd name="connsiteY6" fmla="*/ 0 h 1633903"/>
            <a:gd name="connsiteX7" fmla="*/ 1780442 w 1780442"/>
            <a:gd name="connsiteY7" fmla="*/ 190500 h 1633903"/>
            <a:gd name="connsiteX0" fmla="*/ 1707173 w 1780442"/>
            <a:gd name="connsiteY0" fmla="*/ 1633903 h 1633903"/>
            <a:gd name="connsiteX1" fmla="*/ 829638 w 1780442"/>
            <a:gd name="connsiteY1" fmla="*/ 1210617 h 1633903"/>
            <a:gd name="connsiteX2" fmla="*/ 923192 w 1780442"/>
            <a:gd name="connsiteY2" fmla="*/ 952499 h 1633903"/>
            <a:gd name="connsiteX3" fmla="*/ 271096 w 1780442"/>
            <a:gd name="connsiteY3" fmla="*/ 652096 h 1633903"/>
            <a:gd name="connsiteX4" fmla="*/ 181297 w 1780442"/>
            <a:gd name="connsiteY4" fmla="*/ 893884 h 1633903"/>
            <a:gd name="connsiteX5" fmla="*/ 0 w 1780442"/>
            <a:gd name="connsiteY5" fmla="*/ 827942 h 1633903"/>
            <a:gd name="connsiteX6" fmla="*/ 0 w 1780442"/>
            <a:gd name="connsiteY6" fmla="*/ 0 h 1633903"/>
            <a:gd name="connsiteX7" fmla="*/ 1780442 w 1780442"/>
            <a:gd name="connsiteY7" fmla="*/ 190500 h 1633903"/>
            <a:gd name="connsiteX0" fmla="*/ 1707173 w 1780442"/>
            <a:gd name="connsiteY0" fmla="*/ 1633903 h 1633903"/>
            <a:gd name="connsiteX1" fmla="*/ 829638 w 1780442"/>
            <a:gd name="connsiteY1" fmla="*/ 1210617 h 1633903"/>
            <a:gd name="connsiteX2" fmla="*/ 923192 w 1780442"/>
            <a:gd name="connsiteY2" fmla="*/ 952499 h 1633903"/>
            <a:gd name="connsiteX3" fmla="*/ 298346 w 1780442"/>
            <a:gd name="connsiteY3" fmla="*/ 657538 h 1633903"/>
            <a:gd name="connsiteX4" fmla="*/ 181297 w 1780442"/>
            <a:gd name="connsiteY4" fmla="*/ 893884 h 1633903"/>
            <a:gd name="connsiteX5" fmla="*/ 0 w 1780442"/>
            <a:gd name="connsiteY5" fmla="*/ 827942 h 1633903"/>
            <a:gd name="connsiteX6" fmla="*/ 0 w 1780442"/>
            <a:gd name="connsiteY6" fmla="*/ 0 h 1633903"/>
            <a:gd name="connsiteX7" fmla="*/ 1780442 w 1780442"/>
            <a:gd name="connsiteY7" fmla="*/ 190500 h 1633903"/>
            <a:gd name="connsiteX0" fmla="*/ 1707173 w 1780442"/>
            <a:gd name="connsiteY0" fmla="*/ 1633903 h 1633903"/>
            <a:gd name="connsiteX1" fmla="*/ 829638 w 1780442"/>
            <a:gd name="connsiteY1" fmla="*/ 1210617 h 1633903"/>
            <a:gd name="connsiteX2" fmla="*/ 939542 w 1780442"/>
            <a:gd name="connsiteY2" fmla="*/ 974270 h 1633903"/>
            <a:gd name="connsiteX3" fmla="*/ 298346 w 1780442"/>
            <a:gd name="connsiteY3" fmla="*/ 657538 h 1633903"/>
            <a:gd name="connsiteX4" fmla="*/ 181297 w 1780442"/>
            <a:gd name="connsiteY4" fmla="*/ 893884 h 1633903"/>
            <a:gd name="connsiteX5" fmla="*/ 0 w 1780442"/>
            <a:gd name="connsiteY5" fmla="*/ 827942 h 1633903"/>
            <a:gd name="connsiteX6" fmla="*/ 0 w 1780442"/>
            <a:gd name="connsiteY6" fmla="*/ 0 h 1633903"/>
            <a:gd name="connsiteX7" fmla="*/ 1780442 w 1780442"/>
            <a:gd name="connsiteY7" fmla="*/ 190500 h 1633903"/>
            <a:gd name="connsiteX0" fmla="*/ 1707173 w 1780442"/>
            <a:gd name="connsiteY0" fmla="*/ 1633903 h 1633903"/>
            <a:gd name="connsiteX1" fmla="*/ 829638 w 1780442"/>
            <a:gd name="connsiteY1" fmla="*/ 1210617 h 1633903"/>
            <a:gd name="connsiteX2" fmla="*/ 939542 w 1780442"/>
            <a:gd name="connsiteY2" fmla="*/ 974270 h 1633903"/>
            <a:gd name="connsiteX3" fmla="*/ 298346 w 1780442"/>
            <a:gd name="connsiteY3" fmla="*/ 657538 h 1633903"/>
            <a:gd name="connsiteX4" fmla="*/ 175847 w 1780442"/>
            <a:gd name="connsiteY4" fmla="*/ 904770 h 1633903"/>
            <a:gd name="connsiteX5" fmla="*/ 0 w 1780442"/>
            <a:gd name="connsiteY5" fmla="*/ 827942 h 1633903"/>
            <a:gd name="connsiteX6" fmla="*/ 0 w 1780442"/>
            <a:gd name="connsiteY6" fmla="*/ 0 h 1633903"/>
            <a:gd name="connsiteX7" fmla="*/ 1780442 w 1780442"/>
            <a:gd name="connsiteY7" fmla="*/ 190500 h 16339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780442" h="1633903">
              <a:moveTo>
                <a:pt x="1707173" y="1633903"/>
              </a:moveTo>
              <a:lnTo>
                <a:pt x="829638" y="1210617"/>
              </a:lnTo>
              <a:lnTo>
                <a:pt x="939542" y="974270"/>
              </a:lnTo>
              <a:lnTo>
                <a:pt x="298346" y="657538"/>
              </a:lnTo>
              <a:lnTo>
                <a:pt x="175847" y="904770"/>
              </a:lnTo>
              <a:lnTo>
                <a:pt x="0" y="827942"/>
              </a:lnTo>
              <a:lnTo>
                <a:pt x="0" y="0"/>
              </a:lnTo>
              <a:lnTo>
                <a:pt x="1780442" y="19050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1025192</xdr:colOff>
      <xdr:row>4</xdr:row>
      <xdr:rowOff>2121696</xdr:rowOff>
    </xdr:from>
    <xdr:ext cx="293863" cy="342786"/>
    <xdr:sp macro="" textlink="">
      <xdr:nvSpPr>
        <xdr:cNvPr id="117" name="TextBox 116"/>
        <xdr:cNvSpPr txBox="1"/>
      </xdr:nvSpPr>
      <xdr:spPr>
        <a:xfrm rot="1541069">
          <a:off x="4159783" y="3022241"/>
          <a:ext cx="293863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>
              <a:solidFill>
                <a:schemeClr val="tx2">
                  <a:lumMod val="60000"/>
                  <a:lumOff val="40000"/>
                </a:schemeClr>
              </a:solidFill>
            </a:rPr>
            <a:t>P</a:t>
          </a:r>
          <a:endParaRPr lang="ru-RU" sz="16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3</xdr:col>
      <xdr:colOff>717860</xdr:colOff>
      <xdr:row>7</xdr:row>
      <xdr:rowOff>1090283</xdr:rowOff>
    </xdr:from>
    <xdr:to>
      <xdr:col>3</xdr:col>
      <xdr:colOff>789860</xdr:colOff>
      <xdr:row>7</xdr:row>
      <xdr:rowOff>1162283</xdr:rowOff>
    </xdr:to>
    <xdr:sp macro="" textlink="">
      <xdr:nvSpPr>
        <xdr:cNvPr id="103" name="Прямоугольник 102"/>
        <xdr:cNvSpPr/>
      </xdr:nvSpPr>
      <xdr:spPr>
        <a:xfrm>
          <a:off x="2256514" y="8065514"/>
          <a:ext cx="72000" cy="72000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826997</xdr:colOff>
      <xdr:row>8</xdr:row>
      <xdr:rowOff>96440</xdr:rowOff>
    </xdr:from>
    <xdr:to>
      <xdr:col>3</xdr:col>
      <xdr:colOff>826997</xdr:colOff>
      <xdr:row>8</xdr:row>
      <xdr:rowOff>1425250</xdr:rowOff>
    </xdr:to>
    <xdr:cxnSp macro="">
      <xdr:nvCxnSpPr>
        <xdr:cNvPr id="146" name="Прямая со стрелкой 145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V="1">
          <a:off x="2373409" y="8612911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797586</xdr:colOff>
      <xdr:row>8</xdr:row>
      <xdr:rowOff>1361488</xdr:rowOff>
    </xdr:from>
    <xdr:to>
      <xdr:col>3</xdr:col>
      <xdr:colOff>872899</xdr:colOff>
      <xdr:row>8</xdr:row>
      <xdr:rowOff>1433488</xdr:rowOff>
    </xdr:to>
    <xdr:sp macro="" textlink="">
      <xdr:nvSpPr>
        <xdr:cNvPr id="147" name="Овал 146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343998" y="9877959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127099</xdr:colOff>
      <xdr:row>8</xdr:row>
      <xdr:rowOff>674122</xdr:rowOff>
    </xdr:from>
    <xdr:to>
      <xdr:col>3</xdr:col>
      <xdr:colOff>823928</xdr:colOff>
      <xdr:row>8</xdr:row>
      <xdr:rowOff>744306</xdr:rowOff>
    </xdr:to>
    <xdr:cxnSp macro="">
      <xdr:nvCxnSpPr>
        <xdr:cNvPr id="148" name="Прямая со стрелкой 147">
          <a:extLst>
            <a:ext uri="{FF2B5EF4-FFF2-40B4-BE49-F238E27FC236}">
              <a16:creationId xmlns:a16="http://schemas.microsoft.com/office/drawing/2014/main" id="{00000000-0008-0000-0900-000038020000}"/>
            </a:ext>
          </a:extLst>
        </xdr:cNvPr>
        <xdr:cNvCxnSpPr/>
      </xdr:nvCxnSpPr>
      <xdr:spPr>
        <a:xfrm flipH="1" flipV="1">
          <a:off x="1673511" y="9190593"/>
          <a:ext cx="696829" cy="70184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775115</xdr:colOff>
      <xdr:row>11</xdr:row>
      <xdr:rowOff>85725</xdr:rowOff>
    </xdr:from>
    <xdr:to>
      <xdr:col>3</xdr:col>
      <xdr:colOff>775115</xdr:colOff>
      <xdr:row>11</xdr:row>
      <xdr:rowOff>1397681</xdr:rowOff>
    </xdr:to>
    <xdr:cxnSp macro="">
      <xdr:nvCxnSpPr>
        <xdr:cNvPr id="150" name="Прямая со стрелкой 14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8165" y="13154025"/>
          <a:ext cx="0" cy="1311956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734122</xdr:colOff>
      <xdr:row>11</xdr:row>
      <xdr:rowOff>1379982</xdr:rowOff>
    </xdr:from>
    <xdr:to>
      <xdr:col>3</xdr:col>
      <xdr:colOff>806122</xdr:colOff>
      <xdr:row>11</xdr:row>
      <xdr:rowOff>1451982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7172" y="144482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514350</xdr:colOff>
      <xdr:row>11</xdr:row>
      <xdr:rowOff>731296</xdr:rowOff>
    </xdr:from>
    <xdr:to>
      <xdr:col>3</xdr:col>
      <xdr:colOff>586350</xdr:colOff>
      <xdr:row>11</xdr:row>
      <xdr:rowOff>803296</xdr:rowOff>
    </xdr:to>
    <xdr:sp macro="" textlink="">
      <xdr:nvSpPr>
        <xdr:cNvPr id="153" name="5-конечная звезда 152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57400" y="137995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773445</xdr:colOff>
      <xdr:row>9</xdr:row>
      <xdr:rowOff>1341808</xdr:rowOff>
    </xdr:from>
    <xdr:to>
      <xdr:col>3</xdr:col>
      <xdr:colOff>848758</xdr:colOff>
      <xdr:row>9</xdr:row>
      <xdr:rowOff>1413808</xdr:rowOff>
    </xdr:to>
    <xdr:sp macro="" textlink="">
      <xdr:nvSpPr>
        <xdr:cNvPr id="154" name="Овал 153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316495" y="9838108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802856</xdr:colOff>
      <xdr:row>9</xdr:row>
      <xdr:rowOff>67235</xdr:rowOff>
    </xdr:from>
    <xdr:to>
      <xdr:col>3</xdr:col>
      <xdr:colOff>802856</xdr:colOff>
      <xdr:row>9</xdr:row>
      <xdr:rowOff>1396045</xdr:rowOff>
    </xdr:to>
    <xdr:cxnSp macro="">
      <xdr:nvCxnSpPr>
        <xdr:cNvPr id="155" name="Прямая со стрелкой 154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V="1">
          <a:off x="2345906" y="8563535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89647</xdr:colOff>
      <xdr:row>9</xdr:row>
      <xdr:rowOff>727033</xdr:rowOff>
    </xdr:from>
    <xdr:to>
      <xdr:col>3</xdr:col>
      <xdr:colOff>1536637</xdr:colOff>
      <xdr:row>9</xdr:row>
      <xdr:rowOff>727033</xdr:rowOff>
    </xdr:to>
    <xdr:cxnSp macro="">
      <xdr:nvCxnSpPr>
        <xdr:cNvPr id="156" name="Прямая со стрелкой 155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>
          <a:off x="1632697" y="9223333"/>
          <a:ext cx="1446990" cy="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869915</xdr:colOff>
      <xdr:row>9</xdr:row>
      <xdr:rowOff>792568</xdr:rowOff>
    </xdr:from>
    <xdr:to>
      <xdr:col>3</xdr:col>
      <xdr:colOff>941915</xdr:colOff>
      <xdr:row>9</xdr:row>
      <xdr:rowOff>864568</xdr:rowOff>
    </xdr:to>
    <xdr:sp macro="" textlink="">
      <xdr:nvSpPr>
        <xdr:cNvPr id="157" name="5-конечная звезда 156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SpPr/>
      </xdr:nvSpPr>
      <xdr:spPr>
        <a:xfrm>
          <a:off x="2412965" y="928886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1061416</xdr:colOff>
      <xdr:row>9</xdr:row>
      <xdr:rowOff>301488</xdr:rowOff>
    </xdr:from>
    <xdr:to>
      <xdr:col>4</xdr:col>
      <xdr:colOff>1359591</xdr:colOff>
      <xdr:row>9</xdr:row>
      <xdr:rowOff>1166924</xdr:rowOff>
    </xdr:to>
    <xdr:grpSp>
      <xdr:nvGrpSpPr>
        <xdr:cNvPr id="172" name="Группа 171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4185616" y="10321788"/>
          <a:ext cx="298175" cy="865436"/>
          <a:chOff x="635632" y="15053070"/>
          <a:chExt cx="102554" cy="297657"/>
        </a:xfrm>
      </xdr:grpSpPr>
      <xdr:sp macro="" textlink="">
        <xdr:nvSpPr>
          <xdr:cNvPr id="173" name="Прямоугольник 172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4" name="Овал 173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5" name="Овал 174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76" name="Овал 175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476479</xdr:colOff>
      <xdr:row>10</xdr:row>
      <xdr:rowOff>2762835</xdr:rowOff>
    </xdr:from>
    <xdr:to>
      <xdr:col>4</xdr:col>
      <xdr:colOff>620774</xdr:colOff>
      <xdr:row>10</xdr:row>
      <xdr:rowOff>2906716</xdr:rowOff>
    </xdr:to>
    <xdr:sp macro="" textlink="">
      <xdr:nvSpPr>
        <xdr:cNvPr id="57" name="Овал 56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3600679" y="14307135"/>
          <a:ext cx="144295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3</xdr:col>
      <xdr:colOff>1509395</xdr:colOff>
      <xdr:row>10</xdr:row>
      <xdr:rowOff>683207</xdr:rowOff>
    </xdr:from>
    <xdr:ext cx="676083" cy="1219436"/>
    <xdr:sp macro="" textlink="">
      <xdr:nvSpPr>
        <xdr:cNvPr id="58" name="TextBox 57"/>
        <xdr:cNvSpPr txBox="1"/>
      </xdr:nvSpPr>
      <xdr:spPr>
        <a:xfrm>
          <a:off x="3052445" y="12227507"/>
          <a:ext cx="676083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7200" b="1">
              <a:solidFill>
                <a:schemeClr val="tx2">
                  <a:lumMod val="60000"/>
                  <a:lumOff val="40000"/>
                </a:schemeClr>
              </a:solidFill>
            </a:rPr>
            <a:t>P</a:t>
          </a:r>
          <a:endParaRPr lang="ru-RU" sz="72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3</xdr:col>
      <xdr:colOff>690961</xdr:colOff>
      <xdr:row>10</xdr:row>
      <xdr:rowOff>209550</xdr:rowOff>
    </xdr:from>
    <xdr:to>
      <xdr:col>5</xdr:col>
      <xdr:colOff>464177</xdr:colOff>
      <xdr:row>10</xdr:row>
      <xdr:rowOff>2709682</xdr:rowOff>
    </xdr:to>
    <xdr:sp macro="" textlink="">
      <xdr:nvSpPr>
        <xdr:cNvPr id="59" name="Полилиния 58"/>
        <xdr:cNvSpPr/>
      </xdr:nvSpPr>
      <xdr:spPr>
        <a:xfrm>
          <a:off x="2234011" y="11753850"/>
          <a:ext cx="2735491" cy="2500132"/>
        </a:xfrm>
        <a:custGeom>
          <a:avLst/>
          <a:gdLst>
            <a:gd name="connsiteX0" fmla="*/ 2733261 w 2733261"/>
            <a:gd name="connsiteY0" fmla="*/ 0 h 2807804"/>
            <a:gd name="connsiteX1" fmla="*/ 2733261 w 2733261"/>
            <a:gd name="connsiteY1" fmla="*/ 1300369 h 2807804"/>
            <a:gd name="connsiteX2" fmla="*/ 2236305 w 2733261"/>
            <a:gd name="connsiteY2" fmla="*/ 1300369 h 2807804"/>
            <a:gd name="connsiteX3" fmla="*/ 2236305 w 2733261"/>
            <a:gd name="connsiteY3" fmla="*/ 289891 h 2807804"/>
            <a:gd name="connsiteX4" fmla="*/ 381000 w 2733261"/>
            <a:gd name="connsiteY4" fmla="*/ 289891 h 2807804"/>
            <a:gd name="connsiteX5" fmla="*/ 381000 w 2733261"/>
            <a:gd name="connsiteY5" fmla="*/ 579782 h 2807804"/>
            <a:gd name="connsiteX6" fmla="*/ 149087 w 2733261"/>
            <a:gd name="connsiteY6" fmla="*/ 811695 h 2807804"/>
            <a:gd name="connsiteX7" fmla="*/ 0 w 2733261"/>
            <a:gd name="connsiteY7" fmla="*/ 811695 h 2807804"/>
            <a:gd name="connsiteX8" fmla="*/ 0 w 2733261"/>
            <a:gd name="connsiteY8" fmla="*/ 2426804 h 2807804"/>
            <a:gd name="connsiteX9" fmla="*/ 1027044 w 2733261"/>
            <a:gd name="connsiteY9" fmla="*/ 2426804 h 2807804"/>
            <a:gd name="connsiteX10" fmla="*/ 1027044 w 2733261"/>
            <a:gd name="connsiteY10" fmla="*/ 2807804 h 2807804"/>
            <a:gd name="connsiteX0" fmla="*/ 2733261 w 2733261"/>
            <a:gd name="connsiteY0" fmla="*/ 1010478 h 2517913"/>
            <a:gd name="connsiteX1" fmla="*/ 2236305 w 2733261"/>
            <a:gd name="connsiteY1" fmla="*/ 1010478 h 2517913"/>
            <a:gd name="connsiteX2" fmla="*/ 2236305 w 2733261"/>
            <a:gd name="connsiteY2" fmla="*/ 0 h 2517913"/>
            <a:gd name="connsiteX3" fmla="*/ 381000 w 2733261"/>
            <a:gd name="connsiteY3" fmla="*/ 0 h 2517913"/>
            <a:gd name="connsiteX4" fmla="*/ 381000 w 2733261"/>
            <a:gd name="connsiteY4" fmla="*/ 289891 h 2517913"/>
            <a:gd name="connsiteX5" fmla="*/ 149087 w 2733261"/>
            <a:gd name="connsiteY5" fmla="*/ 521804 h 2517913"/>
            <a:gd name="connsiteX6" fmla="*/ 0 w 2733261"/>
            <a:gd name="connsiteY6" fmla="*/ 521804 h 2517913"/>
            <a:gd name="connsiteX7" fmla="*/ 0 w 2733261"/>
            <a:gd name="connsiteY7" fmla="*/ 2136913 h 2517913"/>
            <a:gd name="connsiteX8" fmla="*/ 1027044 w 2733261"/>
            <a:gd name="connsiteY8" fmla="*/ 2136913 h 2517913"/>
            <a:gd name="connsiteX9" fmla="*/ 1027044 w 2733261"/>
            <a:gd name="connsiteY9" fmla="*/ 2517913 h 2517913"/>
            <a:gd name="connsiteX0" fmla="*/ 2733261 w 2733261"/>
            <a:gd name="connsiteY0" fmla="*/ 1010478 h 2517913"/>
            <a:gd name="connsiteX1" fmla="*/ 2236305 w 2733261"/>
            <a:gd name="connsiteY1" fmla="*/ 1010478 h 2517913"/>
            <a:gd name="connsiteX2" fmla="*/ 2236305 w 2733261"/>
            <a:gd name="connsiteY2" fmla="*/ 0 h 2517913"/>
            <a:gd name="connsiteX3" fmla="*/ 381000 w 2733261"/>
            <a:gd name="connsiteY3" fmla="*/ 0 h 2517913"/>
            <a:gd name="connsiteX4" fmla="*/ 381000 w 2733261"/>
            <a:gd name="connsiteY4" fmla="*/ 289891 h 2517913"/>
            <a:gd name="connsiteX5" fmla="*/ 149087 w 2733261"/>
            <a:gd name="connsiteY5" fmla="*/ 521804 h 2517913"/>
            <a:gd name="connsiteX6" fmla="*/ 0 w 2733261"/>
            <a:gd name="connsiteY6" fmla="*/ 521804 h 2517913"/>
            <a:gd name="connsiteX7" fmla="*/ 0 w 2733261"/>
            <a:gd name="connsiteY7" fmla="*/ 2136913 h 2517913"/>
            <a:gd name="connsiteX8" fmla="*/ 1027044 w 2733261"/>
            <a:gd name="connsiteY8" fmla="*/ 2136913 h 2517913"/>
            <a:gd name="connsiteX9" fmla="*/ 1025049 w 2733261"/>
            <a:gd name="connsiteY9" fmla="*/ 2422411 h 2517913"/>
            <a:gd name="connsiteX10" fmla="*/ 1027044 w 2733261"/>
            <a:gd name="connsiteY10" fmla="*/ 2517913 h 2517913"/>
            <a:gd name="connsiteX0" fmla="*/ 2733261 w 2733261"/>
            <a:gd name="connsiteY0" fmla="*/ 1010478 h 2476096"/>
            <a:gd name="connsiteX1" fmla="*/ 2236305 w 2733261"/>
            <a:gd name="connsiteY1" fmla="*/ 1010478 h 2476096"/>
            <a:gd name="connsiteX2" fmla="*/ 2236305 w 2733261"/>
            <a:gd name="connsiteY2" fmla="*/ 0 h 2476096"/>
            <a:gd name="connsiteX3" fmla="*/ 381000 w 2733261"/>
            <a:gd name="connsiteY3" fmla="*/ 0 h 2476096"/>
            <a:gd name="connsiteX4" fmla="*/ 381000 w 2733261"/>
            <a:gd name="connsiteY4" fmla="*/ 289891 h 2476096"/>
            <a:gd name="connsiteX5" fmla="*/ 149087 w 2733261"/>
            <a:gd name="connsiteY5" fmla="*/ 521804 h 2476096"/>
            <a:gd name="connsiteX6" fmla="*/ 0 w 2733261"/>
            <a:gd name="connsiteY6" fmla="*/ 521804 h 2476096"/>
            <a:gd name="connsiteX7" fmla="*/ 0 w 2733261"/>
            <a:gd name="connsiteY7" fmla="*/ 2136913 h 2476096"/>
            <a:gd name="connsiteX8" fmla="*/ 1027044 w 2733261"/>
            <a:gd name="connsiteY8" fmla="*/ 2136913 h 2476096"/>
            <a:gd name="connsiteX9" fmla="*/ 1025049 w 2733261"/>
            <a:gd name="connsiteY9" fmla="*/ 2422411 h 2476096"/>
            <a:gd name="connsiteX10" fmla="*/ 7461 w 2733261"/>
            <a:gd name="connsiteY10" fmla="*/ 2476096 h 2476096"/>
            <a:gd name="connsiteX0" fmla="*/ 2733261 w 2733261"/>
            <a:gd name="connsiteY0" fmla="*/ 1010478 h 2482813"/>
            <a:gd name="connsiteX1" fmla="*/ 2236305 w 2733261"/>
            <a:gd name="connsiteY1" fmla="*/ 1010478 h 2482813"/>
            <a:gd name="connsiteX2" fmla="*/ 2236305 w 2733261"/>
            <a:gd name="connsiteY2" fmla="*/ 0 h 2482813"/>
            <a:gd name="connsiteX3" fmla="*/ 381000 w 2733261"/>
            <a:gd name="connsiteY3" fmla="*/ 0 h 2482813"/>
            <a:gd name="connsiteX4" fmla="*/ 381000 w 2733261"/>
            <a:gd name="connsiteY4" fmla="*/ 289891 h 2482813"/>
            <a:gd name="connsiteX5" fmla="*/ 149087 w 2733261"/>
            <a:gd name="connsiteY5" fmla="*/ 521804 h 2482813"/>
            <a:gd name="connsiteX6" fmla="*/ 0 w 2733261"/>
            <a:gd name="connsiteY6" fmla="*/ 521804 h 2482813"/>
            <a:gd name="connsiteX7" fmla="*/ 0 w 2733261"/>
            <a:gd name="connsiteY7" fmla="*/ 2136913 h 2482813"/>
            <a:gd name="connsiteX8" fmla="*/ 1027044 w 2733261"/>
            <a:gd name="connsiteY8" fmla="*/ 2136913 h 2482813"/>
            <a:gd name="connsiteX9" fmla="*/ 1029706 w 2733261"/>
            <a:gd name="connsiteY9" fmla="*/ 2482813 h 2482813"/>
            <a:gd name="connsiteX10" fmla="*/ 7461 w 2733261"/>
            <a:gd name="connsiteY10" fmla="*/ 2476096 h 2482813"/>
            <a:gd name="connsiteX0" fmla="*/ 2733261 w 2733261"/>
            <a:gd name="connsiteY0" fmla="*/ 1010478 h 2490035"/>
            <a:gd name="connsiteX1" fmla="*/ 2236305 w 2733261"/>
            <a:gd name="connsiteY1" fmla="*/ 1010478 h 2490035"/>
            <a:gd name="connsiteX2" fmla="*/ 2236305 w 2733261"/>
            <a:gd name="connsiteY2" fmla="*/ 0 h 2490035"/>
            <a:gd name="connsiteX3" fmla="*/ 381000 w 2733261"/>
            <a:gd name="connsiteY3" fmla="*/ 0 h 2490035"/>
            <a:gd name="connsiteX4" fmla="*/ 381000 w 2733261"/>
            <a:gd name="connsiteY4" fmla="*/ 289891 h 2490035"/>
            <a:gd name="connsiteX5" fmla="*/ 149087 w 2733261"/>
            <a:gd name="connsiteY5" fmla="*/ 521804 h 2490035"/>
            <a:gd name="connsiteX6" fmla="*/ 0 w 2733261"/>
            <a:gd name="connsiteY6" fmla="*/ 521804 h 2490035"/>
            <a:gd name="connsiteX7" fmla="*/ 0 w 2733261"/>
            <a:gd name="connsiteY7" fmla="*/ 2136913 h 2490035"/>
            <a:gd name="connsiteX8" fmla="*/ 1027044 w 2733261"/>
            <a:gd name="connsiteY8" fmla="*/ 2136913 h 2490035"/>
            <a:gd name="connsiteX9" fmla="*/ 1029706 w 2733261"/>
            <a:gd name="connsiteY9" fmla="*/ 2482813 h 2490035"/>
            <a:gd name="connsiteX10" fmla="*/ 2805 w 2733261"/>
            <a:gd name="connsiteY10" fmla="*/ 2490035 h 2490035"/>
            <a:gd name="connsiteX0" fmla="*/ 2733261 w 2733261"/>
            <a:gd name="connsiteY0" fmla="*/ 1010478 h 2485389"/>
            <a:gd name="connsiteX1" fmla="*/ 2236305 w 2733261"/>
            <a:gd name="connsiteY1" fmla="*/ 1010478 h 2485389"/>
            <a:gd name="connsiteX2" fmla="*/ 2236305 w 2733261"/>
            <a:gd name="connsiteY2" fmla="*/ 0 h 2485389"/>
            <a:gd name="connsiteX3" fmla="*/ 381000 w 2733261"/>
            <a:gd name="connsiteY3" fmla="*/ 0 h 2485389"/>
            <a:gd name="connsiteX4" fmla="*/ 381000 w 2733261"/>
            <a:gd name="connsiteY4" fmla="*/ 289891 h 2485389"/>
            <a:gd name="connsiteX5" fmla="*/ 149087 w 2733261"/>
            <a:gd name="connsiteY5" fmla="*/ 521804 h 2485389"/>
            <a:gd name="connsiteX6" fmla="*/ 0 w 2733261"/>
            <a:gd name="connsiteY6" fmla="*/ 521804 h 2485389"/>
            <a:gd name="connsiteX7" fmla="*/ 0 w 2733261"/>
            <a:gd name="connsiteY7" fmla="*/ 2136913 h 2485389"/>
            <a:gd name="connsiteX8" fmla="*/ 1027044 w 2733261"/>
            <a:gd name="connsiteY8" fmla="*/ 2136913 h 2485389"/>
            <a:gd name="connsiteX9" fmla="*/ 1029706 w 2733261"/>
            <a:gd name="connsiteY9" fmla="*/ 2482813 h 2485389"/>
            <a:gd name="connsiteX10" fmla="*/ 16771 w 2733261"/>
            <a:gd name="connsiteY10" fmla="*/ 2485389 h 2485389"/>
            <a:gd name="connsiteX0" fmla="*/ 2733261 w 2733261"/>
            <a:gd name="connsiteY0" fmla="*/ 1010478 h 2500132"/>
            <a:gd name="connsiteX1" fmla="*/ 2236305 w 2733261"/>
            <a:gd name="connsiteY1" fmla="*/ 1010478 h 2500132"/>
            <a:gd name="connsiteX2" fmla="*/ 2236305 w 2733261"/>
            <a:gd name="connsiteY2" fmla="*/ 0 h 2500132"/>
            <a:gd name="connsiteX3" fmla="*/ 381000 w 2733261"/>
            <a:gd name="connsiteY3" fmla="*/ 0 h 2500132"/>
            <a:gd name="connsiteX4" fmla="*/ 381000 w 2733261"/>
            <a:gd name="connsiteY4" fmla="*/ 289891 h 2500132"/>
            <a:gd name="connsiteX5" fmla="*/ 149087 w 2733261"/>
            <a:gd name="connsiteY5" fmla="*/ 521804 h 2500132"/>
            <a:gd name="connsiteX6" fmla="*/ 0 w 2733261"/>
            <a:gd name="connsiteY6" fmla="*/ 521804 h 2500132"/>
            <a:gd name="connsiteX7" fmla="*/ 0 w 2733261"/>
            <a:gd name="connsiteY7" fmla="*/ 2136913 h 2500132"/>
            <a:gd name="connsiteX8" fmla="*/ 1027044 w 2733261"/>
            <a:gd name="connsiteY8" fmla="*/ 2136913 h 2500132"/>
            <a:gd name="connsiteX9" fmla="*/ 1029706 w 2733261"/>
            <a:gd name="connsiteY9" fmla="*/ 2500132 h 2500132"/>
            <a:gd name="connsiteX10" fmla="*/ 16771 w 2733261"/>
            <a:gd name="connsiteY10" fmla="*/ 2485389 h 2500132"/>
            <a:gd name="connsiteX0" fmla="*/ 2733261 w 2733261"/>
            <a:gd name="connsiteY0" fmla="*/ 1010478 h 2500132"/>
            <a:gd name="connsiteX1" fmla="*/ 2236305 w 2733261"/>
            <a:gd name="connsiteY1" fmla="*/ 1010478 h 2500132"/>
            <a:gd name="connsiteX2" fmla="*/ 2236305 w 2733261"/>
            <a:gd name="connsiteY2" fmla="*/ 0 h 2500132"/>
            <a:gd name="connsiteX3" fmla="*/ 381000 w 2733261"/>
            <a:gd name="connsiteY3" fmla="*/ 0 h 2500132"/>
            <a:gd name="connsiteX4" fmla="*/ 381000 w 2733261"/>
            <a:gd name="connsiteY4" fmla="*/ 289891 h 2500132"/>
            <a:gd name="connsiteX5" fmla="*/ 149087 w 2733261"/>
            <a:gd name="connsiteY5" fmla="*/ 521804 h 2500132"/>
            <a:gd name="connsiteX6" fmla="*/ 0 w 2733261"/>
            <a:gd name="connsiteY6" fmla="*/ 521804 h 2500132"/>
            <a:gd name="connsiteX7" fmla="*/ 0 w 2733261"/>
            <a:gd name="connsiteY7" fmla="*/ 2136913 h 2500132"/>
            <a:gd name="connsiteX8" fmla="*/ 1027044 w 2733261"/>
            <a:gd name="connsiteY8" fmla="*/ 2136913 h 2500132"/>
            <a:gd name="connsiteX9" fmla="*/ 1029706 w 2733261"/>
            <a:gd name="connsiteY9" fmla="*/ 2500132 h 2500132"/>
            <a:gd name="connsiteX10" fmla="*/ 12436 w 2733261"/>
            <a:gd name="connsiteY10" fmla="*/ 2498378 h 25001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733261" h="2500132">
              <a:moveTo>
                <a:pt x="2733261" y="1010478"/>
              </a:moveTo>
              <a:lnTo>
                <a:pt x="2236305" y="1010478"/>
              </a:lnTo>
              <a:lnTo>
                <a:pt x="2236305" y="0"/>
              </a:lnTo>
              <a:lnTo>
                <a:pt x="381000" y="0"/>
              </a:lnTo>
              <a:lnTo>
                <a:pt x="381000" y="289891"/>
              </a:lnTo>
              <a:lnTo>
                <a:pt x="149087" y="521804"/>
              </a:lnTo>
              <a:lnTo>
                <a:pt x="0" y="521804"/>
              </a:lnTo>
              <a:lnTo>
                <a:pt x="0" y="2136913"/>
              </a:lnTo>
              <a:lnTo>
                <a:pt x="1027044" y="2136913"/>
              </a:lnTo>
              <a:cubicBezTo>
                <a:pt x="1027931" y="2252213"/>
                <a:pt x="1028819" y="2384832"/>
                <a:pt x="1029706" y="2500132"/>
              </a:cubicBezTo>
              <a:lnTo>
                <a:pt x="12436" y="2498378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306498</xdr:colOff>
      <xdr:row>10</xdr:row>
      <xdr:rowOff>1458929</xdr:rowOff>
    </xdr:from>
    <xdr:to>
      <xdr:col>5</xdr:col>
      <xdr:colOff>459470</xdr:colOff>
      <xdr:row>10</xdr:row>
      <xdr:rowOff>2709938</xdr:rowOff>
    </xdr:to>
    <xdr:sp macro="" textlink="">
      <xdr:nvSpPr>
        <xdr:cNvPr id="60" name="Полилиния 59"/>
        <xdr:cNvSpPr/>
      </xdr:nvSpPr>
      <xdr:spPr>
        <a:xfrm>
          <a:off x="3430698" y="13003229"/>
          <a:ext cx="1534097" cy="1251009"/>
        </a:xfrm>
        <a:custGeom>
          <a:avLst/>
          <a:gdLst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167848 w 1532283"/>
            <a:gd name="connsiteY4" fmla="*/ 0 h 1250674"/>
            <a:gd name="connsiteX5" fmla="*/ 1532283 w 1532283"/>
            <a:gd name="connsiteY5" fmla="*/ 0 h 1250674"/>
            <a:gd name="connsiteX6" fmla="*/ 1532283 w 1532283"/>
            <a:gd name="connsiteY6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69369 h 1269369"/>
            <a:gd name="connsiteX1" fmla="*/ 0 w 1532283"/>
            <a:gd name="connsiteY1" fmla="*/ 886239 h 1269369"/>
            <a:gd name="connsiteX2" fmla="*/ 1034162 w 1532283"/>
            <a:gd name="connsiteY2" fmla="*/ 881910 h 1269369"/>
            <a:gd name="connsiteX3" fmla="*/ 1034162 w 1532283"/>
            <a:gd name="connsiteY3" fmla="*/ 0 h 1269369"/>
            <a:gd name="connsiteX4" fmla="*/ 1532283 w 1532283"/>
            <a:gd name="connsiteY4" fmla="*/ 0 h 1269369"/>
            <a:gd name="connsiteX5" fmla="*/ 1532283 w 1532283"/>
            <a:gd name="connsiteY5" fmla="*/ 1250674 h 1269369"/>
            <a:gd name="connsiteX0" fmla="*/ 0 w 1532283"/>
            <a:gd name="connsiteY0" fmla="*/ 1236712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53041 h 1253041"/>
            <a:gd name="connsiteX1" fmla="*/ 0 w 1532283"/>
            <a:gd name="connsiteY1" fmla="*/ 886239 h 1253041"/>
            <a:gd name="connsiteX2" fmla="*/ 1034162 w 1532283"/>
            <a:gd name="connsiteY2" fmla="*/ 881910 h 1253041"/>
            <a:gd name="connsiteX3" fmla="*/ 1034162 w 1532283"/>
            <a:gd name="connsiteY3" fmla="*/ 0 h 1253041"/>
            <a:gd name="connsiteX4" fmla="*/ 1532283 w 1532283"/>
            <a:gd name="connsiteY4" fmla="*/ 0 h 1253041"/>
            <a:gd name="connsiteX5" fmla="*/ 1532283 w 1532283"/>
            <a:gd name="connsiteY5" fmla="*/ 1250674 h 1253041"/>
            <a:gd name="connsiteX0" fmla="*/ 5961 w 1532283"/>
            <a:gd name="connsiteY0" fmla="*/ 1264947 h 1264947"/>
            <a:gd name="connsiteX1" fmla="*/ 0 w 1532283"/>
            <a:gd name="connsiteY1" fmla="*/ 886239 h 1264947"/>
            <a:gd name="connsiteX2" fmla="*/ 1034162 w 1532283"/>
            <a:gd name="connsiteY2" fmla="*/ 881910 h 1264947"/>
            <a:gd name="connsiteX3" fmla="*/ 1034162 w 1532283"/>
            <a:gd name="connsiteY3" fmla="*/ 0 h 1264947"/>
            <a:gd name="connsiteX4" fmla="*/ 1532283 w 1532283"/>
            <a:gd name="connsiteY4" fmla="*/ 0 h 1264947"/>
            <a:gd name="connsiteX5" fmla="*/ 1532283 w 1532283"/>
            <a:gd name="connsiteY5" fmla="*/ 1250674 h 1264947"/>
            <a:gd name="connsiteX0" fmla="*/ 5961 w 1532283"/>
            <a:gd name="connsiteY0" fmla="*/ 1264947 h 1264947"/>
            <a:gd name="connsiteX1" fmla="*/ 0 w 1532283"/>
            <a:gd name="connsiteY1" fmla="*/ 886239 h 1264947"/>
            <a:gd name="connsiteX2" fmla="*/ 1034162 w 1532283"/>
            <a:gd name="connsiteY2" fmla="*/ 881910 h 1264947"/>
            <a:gd name="connsiteX3" fmla="*/ 1034162 w 1532283"/>
            <a:gd name="connsiteY3" fmla="*/ 0 h 1264947"/>
            <a:gd name="connsiteX4" fmla="*/ 1532283 w 1532283"/>
            <a:gd name="connsiteY4" fmla="*/ 0 h 1264947"/>
            <a:gd name="connsiteX5" fmla="*/ 1532283 w 1532283"/>
            <a:gd name="connsiteY5" fmla="*/ 1250674 h 1264947"/>
            <a:gd name="connsiteX6" fmla="*/ 5961 w 1532283"/>
            <a:gd name="connsiteY6" fmla="*/ 1264947 h 1264947"/>
            <a:gd name="connsiteX0" fmla="*/ 0 w 1535635"/>
            <a:gd name="connsiteY0" fmla="*/ 1260301 h 1260301"/>
            <a:gd name="connsiteX1" fmla="*/ 3352 w 1535635"/>
            <a:gd name="connsiteY1" fmla="*/ 886239 h 1260301"/>
            <a:gd name="connsiteX2" fmla="*/ 1037514 w 1535635"/>
            <a:gd name="connsiteY2" fmla="*/ 881910 h 1260301"/>
            <a:gd name="connsiteX3" fmla="*/ 1037514 w 1535635"/>
            <a:gd name="connsiteY3" fmla="*/ 0 h 1260301"/>
            <a:gd name="connsiteX4" fmla="*/ 1535635 w 1535635"/>
            <a:gd name="connsiteY4" fmla="*/ 0 h 1260301"/>
            <a:gd name="connsiteX5" fmla="*/ 1535635 w 1535635"/>
            <a:gd name="connsiteY5" fmla="*/ 1250674 h 1260301"/>
            <a:gd name="connsiteX6" fmla="*/ 0 w 1535635"/>
            <a:gd name="connsiteY6" fmla="*/ 1260301 h 1260301"/>
            <a:gd name="connsiteX0" fmla="*/ 1526 w 1532504"/>
            <a:gd name="connsiteY0" fmla="*/ 1251009 h 1251009"/>
            <a:gd name="connsiteX1" fmla="*/ 221 w 1532504"/>
            <a:gd name="connsiteY1" fmla="*/ 886239 h 1251009"/>
            <a:gd name="connsiteX2" fmla="*/ 1034383 w 1532504"/>
            <a:gd name="connsiteY2" fmla="*/ 881910 h 1251009"/>
            <a:gd name="connsiteX3" fmla="*/ 1034383 w 1532504"/>
            <a:gd name="connsiteY3" fmla="*/ 0 h 1251009"/>
            <a:gd name="connsiteX4" fmla="*/ 1532504 w 1532504"/>
            <a:gd name="connsiteY4" fmla="*/ 0 h 1251009"/>
            <a:gd name="connsiteX5" fmla="*/ 1532504 w 1532504"/>
            <a:gd name="connsiteY5" fmla="*/ 1250674 h 1251009"/>
            <a:gd name="connsiteX6" fmla="*/ 1526 w 1532504"/>
            <a:gd name="connsiteY6" fmla="*/ 1251009 h 12510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532504" h="1251009">
              <a:moveTo>
                <a:pt x="1526" y="1251009"/>
              </a:moveTo>
              <a:cubicBezTo>
                <a:pt x="2643" y="1126322"/>
                <a:pt x="-896" y="1010926"/>
                <a:pt x="221" y="886239"/>
              </a:cubicBezTo>
              <a:lnTo>
                <a:pt x="1034383" y="881910"/>
              </a:lnTo>
              <a:lnTo>
                <a:pt x="1034383" y="0"/>
              </a:lnTo>
              <a:lnTo>
                <a:pt x="1532504" y="0"/>
              </a:lnTo>
              <a:lnTo>
                <a:pt x="1532504" y="1250674"/>
              </a:lnTo>
              <a:lnTo>
                <a:pt x="1526" y="1251009"/>
              </a:lnTo>
              <a:close/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784696</xdr:colOff>
      <xdr:row>10</xdr:row>
      <xdr:rowOff>2052531</xdr:rowOff>
    </xdr:from>
    <xdr:to>
      <xdr:col>4</xdr:col>
      <xdr:colOff>521320</xdr:colOff>
      <xdr:row>10</xdr:row>
      <xdr:rowOff>2837763</xdr:rowOff>
    </xdr:to>
    <xdr:sp macro="" textlink="">
      <xdr:nvSpPr>
        <xdr:cNvPr id="61" name="Полилиния 60"/>
        <xdr:cNvSpPr/>
      </xdr:nvSpPr>
      <xdr:spPr>
        <a:xfrm>
          <a:off x="2327746" y="13596831"/>
          <a:ext cx="1317774" cy="785232"/>
        </a:xfrm>
        <a:custGeom>
          <a:avLst/>
          <a:gdLst>
            <a:gd name="connsiteX0" fmla="*/ 2824976 w 2824976"/>
            <a:gd name="connsiteY0" fmla="*/ 427464 h 748061"/>
            <a:gd name="connsiteX1" fmla="*/ 2824976 w 2824976"/>
            <a:gd name="connsiteY1" fmla="*/ 0 h 748061"/>
            <a:gd name="connsiteX2" fmla="*/ 1983988 w 2824976"/>
            <a:gd name="connsiteY2" fmla="*/ 0 h 748061"/>
            <a:gd name="connsiteX3" fmla="*/ 1983988 w 2824976"/>
            <a:gd name="connsiteY3" fmla="*/ 748061 h 748061"/>
            <a:gd name="connsiteX4" fmla="*/ 0 w 2824976"/>
            <a:gd name="connsiteY4" fmla="*/ 748061 h 748061"/>
            <a:gd name="connsiteX0" fmla="*/ 2824976 w 2824976"/>
            <a:gd name="connsiteY0" fmla="*/ 427464 h 752707"/>
            <a:gd name="connsiteX1" fmla="*/ 2824976 w 2824976"/>
            <a:gd name="connsiteY1" fmla="*/ 0 h 752707"/>
            <a:gd name="connsiteX2" fmla="*/ 1983988 w 2824976"/>
            <a:gd name="connsiteY2" fmla="*/ 0 h 752707"/>
            <a:gd name="connsiteX3" fmla="*/ 1054720 w 2824976"/>
            <a:gd name="connsiteY3" fmla="*/ 752707 h 752707"/>
            <a:gd name="connsiteX4" fmla="*/ 0 w 2824976"/>
            <a:gd name="connsiteY4" fmla="*/ 748061 h 752707"/>
            <a:gd name="connsiteX0" fmla="*/ 2824976 w 2824976"/>
            <a:gd name="connsiteY0" fmla="*/ 427464 h 1533293"/>
            <a:gd name="connsiteX1" fmla="*/ 2824976 w 2824976"/>
            <a:gd name="connsiteY1" fmla="*/ 0 h 1533293"/>
            <a:gd name="connsiteX2" fmla="*/ 1050074 w 2824976"/>
            <a:gd name="connsiteY2" fmla="*/ 1533293 h 1533293"/>
            <a:gd name="connsiteX3" fmla="*/ 1054720 w 2824976"/>
            <a:gd name="connsiteY3" fmla="*/ 752707 h 1533293"/>
            <a:gd name="connsiteX4" fmla="*/ 0 w 2824976"/>
            <a:gd name="connsiteY4" fmla="*/ 748061 h 1533293"/>
            <a:gd name="connsiteX0" fmla="*/ 2824976 w 2824976"/>
            <a:gd name="connsiteY0" fmla="*/ 0 h 1105829"/>
            <a:gd name="connsiteX1" fmla="*/ 1314915 w 2824976"/>
            <a:gd name="connsiteY1" fmla="*/ 1105829 h 1105829"/>
            <a:gd name="connsiteX2" fmla="*/ 1050074 w 2824976"/>
            <a:gd name="connsiteY2" fmla="*/ 1105829 h 1105829"/>
            <a:gd name="connsiteX3" fmla="*/ 1054720 w 2824976"/>
            <a:gd name="connsiteY3" fmla="*/ 325243 h 1105829"/>
            <a:gd name="connsiteX4" fmla="*/ 0 w 2824976"/>
            <a:gd name="connsiteY4" fmla="*/ 320597 h 1105829"/>
            <a:gd name="connsiteX0" fmla="*/ 1314915 w 1314915"/>
            <a:gd name="connsiteY0" fmla="*/ 785232 h 785232"/>
            <a:gd name="connsiteX1" fmla="*/ 1050074 w 1314915"/>
            <a:gd name="connsiteY1" fmla="*/ 785232 h 785232"/>
            <a:gd name="connsiteX2" fmla="*/ 1054720 w 1314915"/>
            <a:gd name="connsiteY2" fmla="*/ 4646 h 785232"/>
            <a:gd name="connsiteX3" fmla="*/ 0 w 1314915"/>
            <a:gd name="connsiteY3" fmla="*/ 0 h 7852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4915" h="785232">
              <a:moveTo>
                <a:pt x="1314915" y="785232"/>
              </a:moveTo>
              <a:lnTo>
                <a:pt x="1050074" y="785232"/>
              </a:lnTo>
              <a:cubicBezTo>
                <a:pt x="1051623" y="525037"/>
                <a:pt x="1053171" y="264841"/>
                <a:pt x="1054720" y="4646"/>
              </a:cubicBezTo>
              <a:lnTo>
                <a:pt x="0" y="0"/>
              </a:lnTo>
            </a:path>
          </a:pathLst>
        </a:custGeom>
        <a:noFill/>
        <a:ln w="317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1</xdr:col>
      <xdr:colOff>466804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914479" cy="496867"/>
        </a:xfrm>
        <a:prstGeom prst="rect">
          <a:avLst/>
        </a:prstGeom>
      </xdr:spPr>
    </xdr:pic>
    <xdr:clientData/>
  </xdr:twoCellAnchor>
  <xdr:oneCellAnchor>
    <xdr:from>
      <xdr:col>0</xdr:col>
      <xdr:colOff>161925</xdr:colOff>
      <xdr:row>32</xdr:row>
      <xdr:rowOff>0</xdr:rowOff>
    </xdr:from>
    <xdr:ext cx="914479" cy="496867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914479" cy="496867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32</xdr:row>
      <xdr:rowOff>47625</xdr:rowOff>
    </xdr:from>
    <xdr:to>
      <xdr:col>1</xdr:col>
      <xdr:colOff>466804</xdr:colOff>
      <xdr:row>34</xdr:row>
      <xdr:rowOff>11092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9211925"/>
          <a:ext cx="914479" cy="49686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1</xdr:col>
      <xdr:colOff>466804</xdr:colOff>
      <xdr:row>1</xdr:row>
      <xdr:rowOff>230167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914479" cy="49686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1</xdr:col>
      <xdr:colOff>457279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914479" cy="49686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1</xdr:col>
      <xdr:colOff>457279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914479" cy="49686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96</xdr:row>
      <xdr:rowOff>0</xdr:rowOff>
    </xdr:from>
    <xdr:ext cx="914479" cy="496867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8746450"/>
          <a:ext cx="914479" cy="496867"/>
        </a:xfrm>
        <a:prstGeom prst="rect">
          <a:avLst/>
        </a:prstGeom>
      </xdr:spPr>
    </xdr:pic>
    <xdr:clientData/>
  </xdr:oneCellAnchor>
  <xdr:twoCellAnchor editAs="oneCell">
    <xdr:from>
      <xdr:col>0</xdr:col>
      <xdr:colOff>142875</xdr:colOff>
      <xdr:row>64</xdr:row>
      <xdr:rowOff>0</xdr:rowOff>
    </xdr:from>
    <xdr:to>
      <xdr:col>1</xdr:col>
      <xdr:colOff>447754</xdr:colOff>
      <xdr:row>65</xdr:row>
      <xdr:rowOff>230167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64300"/>
          <a:ext cx="914479" cy="496867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32</xdr:row>
      <xdr:rowOff>0</xdr:rowOff>
    </xdr:from>
    <xdr:to>
      <xdr:col>1</xdr:col>
      <xdr:colOff>485854</xdr:colOff>
      <xdr:row>33</xdr:row>
      <xdr:rowOff>230167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582150"/>
          <a:ext cx="914479" cy="4968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0</xdr:rowOff>
    </xdr:from>
    <xdr:to>
      <xdr:col>1</xdr:col>
      <xdr:colOff>438229</xdr:colOff>
      <xdr:row>1</xdr:row>
      <xdr:rowOff>230167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914479" cy="49686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32</xdr:row>
      <xdr:rowOff>0</xdr:rowOff>
    </xdr:from>
    <xdr:to>
      <xdr:col>1</xdr:col>
      <xdr:colOff>438229</xdr:colOff>
      <xdr:row>33</xdr:row>
      <xdr:rowOff>230167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9582150"/>
          <a:ext cx="914479" cy="49686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0</xdr:rowOff>
    </xdr:from>
    <xdr:to>
      <xdr:col>1</xdr:col>
      <xdr:colOff>447754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0"/>
          <a:ext cx="914479" cy="49686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64</xdr:row>
      <xdr:rowOff>9525</xdr:rowOff>
    </xdr:from>
    <xdr:to>
      <xdr:col>1</xdr:col>
      <xdr:colOff>447754</xdr:colOff>
      <xdr:row>65</xdr:row>
      <xdr:rowOff>239692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9173825"/>
          <a:ext cx="914479" cy="49686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32</xdr:row>
      <xdr:rowOff>9525</xdr:rowOff>
    </xdr:from>
    <xdr:to>
      <xdr:col>1</xdr:col>
      <xdr:colOff>466804</xdr:colOff>
      <xdr:row>33</xdr:row>
      <xdr:rowOff>239692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9591675"/>
          <a:ext cx="914479" cy="496867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0</xdr:rowOff>
    </xdr:from>
    <xdr:to>
      <xdr:col>1</xdr:col>
      <xdr:colOff>466804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0"/>
          <a:ext cx="914479" cy="49686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1</xdr:col>
      <xdr:colOff>447754</xdr:colOff>
      <xdr:row>1</xdr:row>
      <xdr:rowOff>230167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0"/>
          <a:ext cx="914479" cy="49686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2</xdr:col>
      <xdr:colOff>57229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914479" cy="496867"/>
        </a:xfrm>
        <a:prstGeom prst="rect">
          <a:avLst/>
        </a:prstGeom>
      </xdr:spPr>
    </xdr:pic>
    <xdr:clientData/>
  </xdr:twoCellAnchor>
  <xdr:twoCellAnchor>
    <xdr:from>
      <xdr:col>7</xdr:col>
      <xdr:colOff>171450</xdr:colOff>
      <xdr:row>0</xdr:row>
      <xdr:rowOff>47626</xdr:rowOff>
    </xdr:from>
    <xdr:to>
      <xdr:col>10</xdr:col>
      <xdr:colOff>2562225</xdr:colOff>
      <xdr:row>2</xdr:row>
      <xdr:rowOff>142876</xdr:rowOff>
    </xdr:to>
    <xdr:sp macro="" textlink="">
      <xdr:nvSpPr>
        <xdr:cNvPr id="3" name="TextBox 2"/>
        <xdr:cNvSpPr txBox="1"/>
      </xdr:nvSpPr>
      <xdr:spPr>
        <a:xfrm>
          <a:off x="6638925" y="47626"/>
          <a:ext cx="2447925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/>
            <a:t>Пустые ячейки - для заполнения</a:t>
          </a:r>
        </a:p>
        <a:p>
          <a:r>
            <a:rPr lang="ru-RU" sz="1000"/>
            <a:t>Синие  - вычисляются автоматически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Желтые ячейки - особое внимание, ввод/подсчет вручную</a:t>
          </a:r>
          <a:endParaRPr lang="ru-RU" sz="1000">
            <a:effectLst/>
          </a:endParaRPr>
        </a:p>
        <a:p>
          <a:endParaRPr lang="ru-RU" sz="1000"/>
        </a:p>
      </xdr:txBody>
    </xdr:sp>
    <xdr:clientData/>
  </xdr:twoCellAnchor>
  <xdr:twoCellAnchor>
    <xdr:from>
      <xdr:col>10</xdr:col>
      <xdr:colOff>2676524</xdr:colOff>
      <xdr:row>0</xdr:row>
      <xdr:rowOff>47626</xdr:rowOff>
    </xdr:from>
    <xdr:to>
      <xdr:col>24</xdr:col>
      <xdr:colOff>57149</xdr:colOff>
      <xdr:row>2</xdr:row>
      <xdr:rowOff>142876</xdr:rowOff>
    </xdr:to>
    <xdr:sp macro="" textlink="">
      <xdr:nvSpPr>
        <xdr:cNvPr id="4" name="TextBox 3"/>
        <xdr:cNvSpPr txBox="1"/>
      </xdr:nvSpPr>
      <xdr:spPr>
        <a:xfrm>
          <a:off x="9086849" y="47626"/>
          <a:ext cx="6915150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/>
            <a:t>При появление в ячейке '!!!ВРУЧНУЮ!!!' - подсчитать пенализацию самостоятельно и внести в ячейку, сделать желтый фон в ячейке (чтобы не забыть)</a:t>
          </a:r>
        </a:p>
        <a:p>
          <a:r>
            <a:rPr lang="ru-RU" sz="1000"/>
            <a:t>Автоматически не считается  нарушение порядка</a:t>
          </a:r>
          <a:r>
            <a:rPr lang="ru-RU" sz="1000" baseline="0"/>
            <a:t> прохождения судейских пунктов - следить  самостоятельно</a:t>
          </a:r>
          <a:endParaRPr lang="ru-RU" sz="1000"/>
        </a:p>
      </xdr:txBody>
    </xdr:sp>
    <xdr:clientData/>
  </xdr:twoCellAnchor>
  <xdr:twoCellAnchor>
    <xdr:from>
      <xdr:col>33</xdr:col>
      <xdr:colOff>57150</xdr:colOff>
      <xdr:row>0</xdr:row>
      <xdr:rowOff>47625</xdr:rowOff>
    </xdr:from>
    <xdr:to>
      <xdr:col>39</xdr:col>
      <xdr:colOff>561975</xdr:colOff>
      <xdr:row>2</xdr:row>
      <xdr:rowOff>142875</xdr:rowOff>
    </xdr:to>
    <xdr:sp macro="" textlink="">
      <xdr:nvSpPr>
        <xdr:cNvPr id="5" name="TextBox 4"/>
        <xdr:cNvSpPr txBox="1"/>
      </xdr:nvSpPr>
      <xdr:spPr>
        <a:xfrm>
          <a:off x="21488400" y="47625"/>
          <a:ext cx="4162425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ВКВ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ВКВ+300 сек</a:t>
          </a:r>
          <a:endParaRPr lang="ru-RU" sz="1100"/>
        </a:p>
      </xdr:txBody>
    </xdr:sp>
    <xdr:clientData/>
  </xdr:twoCellAnchor>
  <xdr:twoCellAnchor>
    <xdr:from>
      <xdr:col>41</xdr:col>
      <xdr:colOff>152400</xdr:colOff>
      <xdr:row>0</xdr:row>
      <xdr:rowOff>47625</xdr:rowOff>
    </xdr:from>
    <xdr:to>
      <xdr:col>48</xdr:col>
      <xdr:colOff>47625</xdr:colOff>
      <xdr:row>2</xdr:row>
      <xdr:rowOff>142875</xdr:rowOff>
    </xdr:to>
    <xdr:sp macro="" textlink="">
      <xdr:nvSpPr>
        <xdr:cNvPr id="6" name="TextBox 5"/>
        <xdr:cNvSpPr txBox="1"/>
      </xdr:nvSpPr>
      <xdr:spPr>
        <a:xfrm>
          <a:off x="26460450" y="47625"/>
          <a:ext cx="4162425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РД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70</xdr:col>
      <xdr:colOff>47625</xdr:colOff>
      <xdr:row>0</xdr:row>
      <xdr:rowOff>47625</xdr:rowOff>
    </xdr:from>
    <xdr:to>
      <xdr:col>76</xdr:col>
      <xdr:colOff>552450</xdr:colOff>
      <xdr:row>2</xdr:row>
      <xdr:rowOff>142875</xdr:rowOff>
    </xdr:to>
    <xdr:sp macro="" textlink="">
      <xdr:nvSpPr>
        <xdr:cNvPr id="7" name="TextBox 6"/>
        <xdr:cNvSpPr txBox="1"/>
      </xdr:nvSpPr>
      <xdr:spPr>
        <a:xfrm>
          <a:off x="44091225" y="47625"/>
          <a:ext cx="4267200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РД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79</xdr:col>
      <xdr:colOff>66675</xdr:colOff>
      <xdr:row>0</xdr:row>
      <xdr:rowOff>57150</xdr:rowOff>
    </xdr:from>
    <xdr:to>
      <xdr:col>85</xdr:col>
      <xdr:colOff>571500</xdr:colOff>
      <xdr:row>2</xdr:row>
      <xdr:rowOff>152400</xdr:rowOff>
    </xdr:to>
    <xdr:sp macro="" textlink="">
      <xdr:nvSpPr>
        <xdr:cNvPr id="8" name="TextBox 7"/>
        <xdr:cNvSpPr txBox="1"/>
      </xdr:nvSpPr>
      <xdr:spPr>
        <a:xfrm>
          <a:off x="49701450" y="57150"/>
          <a:ext cx="4162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РД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89</xdr:col>
      <xdr:colOff>47625</xdr:colOff>
      <xdr:row>0</xdr:row>
      <xdr:rowOff>57150</xdr:rowOff>
    </xdr:from>
    <xdr:to>
      <xdr:col>95</xdr:col>
      <xdr:colOff>552450</xdr:colOff>
      <xdr:row>2</xdr:row>
      <xdr:rowOff>152400</xdr:rowOff>
    </xdr:to>
    <xdr:sp macro="" textlink="">
      <xdr:nvSpPr>
        <xdr:cNvPr id="9" name="TextBox 8"/>
        <xdr:cNvSpPr txBox="1"/>
      </xdr:nvSpPr>
      <xdr:spPr>
        <a:xfrm>
          <a:off x="55778400" y="57150"/>
          <a:ext cx="4162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СЛ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61</xdr:col>
      <xdr:colOff>57150</xdr:colOff>
      <xdr:row>0</xdr:row>
      <xdr:rowOff>38100</xdr:rowOff>
    </xdr:from>
    <xdr:to>
      <xdr:col>67</xdr:col>
      <xdr:colOff>561975</xdr:colOff>
      <xdr:row>2</xdr:row>
      <xdr:rowOff>133350</xdr:rowOff>
    </xdr:to>
    <xdr:sp macro="" textlink="">
      <xdr:nvSpPr>
        <xdr:cNvPr id="10" name="TextBox 9"/>
        <xdr:cNvSpPr txBox="1"/>
      </xdr:nvSpPr>
      <xdr:spPr>
        <a:xfrm>
          <a:off x="38614350" y="38100"/>
          <a:ext cx="4162425" cy="609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РУ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51</xdr:col>
      <xdr:colOff>57150</xdr:colOff>
      <xdr:row>0</xdr:row>
      <xdr:rowOff>47625</xdr:rowOff>
    </xdr:from>
    <xdr:to>
      <xdr:col>57</xdr:col>
      <xdr:colOff>561975</xdr:colOff>
      <xdr:row>2</xdr:row>
      <xdr:rowOff>142875</xdr:rowOff>
    </xdr:to>
    <xdr:sp macro="" textlink="">
      <xdr:nvSpPr>
        <xdr:cNvPr id="11" name="TextBox 10"/>
        <xdr:cNvSpPr txBox="1"/>
      </xdr:nvSpPr>
      <xdr:spPr>
        <a:xfrm>
          <a:off x="32461200" y="47625"/>
          <a:ext cx="4162425" cy="600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РД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2</xdr:col>
      <xdr:colOff>57229</xdr:colOff>
      <xdr:row>1</xdr:row>
      <xdr:rowOff>230167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914479" cy="496867"/>
        </a:xfrm>
        <a:prstGeom prst="rect">
          <a:avLst/>
        </a:prstGeom>
      </xdr:spPr>
    </xdr:pic>
    <xdr:clientData/>
  </xdr:twoCellAnchor>
  <xdr:twoCellAnchor>
    <xdr:from>
      <xdr:col>7</xdr:col>
      <xdr:colOff>171450</xdr:colOff>
      <xdr:row>0</xdr:row>
      <xdr:rowOff>47626</xdr:rowOff>
    </xdr:from>
    <xdr:to>
      <xdr:col>10</xdr:col>
      <xdr:colOff>2562225</xdr:colOff>
      <xdr:row>2</xdr:row>
      <xdr:rowOff>142876</xdr:rowOff>
    </xdr:to>
    <xdr:sp macro="" textlink="">
      <xdr:nvSpPr>
        <xdr:cNvPr id="2" name="TextBox 1"/>
        <xdr:cNvSpPr txBox="1"/>
      </xdr:nvSpPr>
      <xdr:spPr>
        <a:xfrm>
          <a:off x="6838950" y="47626"/>
          <a:ext cx="41624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/>
            <a:t>Пустые ячейки - для заполнения</a:t>
          </a:r>
        </a:p>
        <a:p>
          <a:r>
            <a:rPr lang="ru-RU" sz="1000"/>
            <a:t>Синие  - вычисляются автоматически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Желтые ячейки - особое внимание, ввод/подсчет вручную</a:t>
          </a:r>
          <a:endParaRPr lang="ru-RU" sz="1000">
            <a:effectLst/>
          </a:endParaRPr>
        </a:p>
        <a:p>
          <a:endParaRPr lang="ru-RU" sz="1000"/>
        </a:p>
      </xdr:txBody>
    </xdr:sp>
    <xdr:clientData/>
  </xdr:twoCellAnchor>
  <xdr:twoCellAnchor>
    <xdr:from>
      <xdr:col>10</xdr:col>
      <xdr:colOff>2676524</xdr:colOff>
      <xdr:row>0</xdr:row>
      <xdr:rowOff>47626</xdr:rowOff>
    </xdr:from>
    <xdr:to>
      <xdr:col>24</xdr:col>
      <xdr:colOff>57149</xdr:colOff>
      <xdr:row>2</xdr:row>
      <xdr:rowOff>142876</xdr:rowOff>
    </xdr:to>
    <xdr:sp macro="" textlink="">
      <xdr:nvSpPr>
        <xdr:cNvPr id="3" name="TextBox 2"/>
        <xdr:cNvSpPr txBox="1"/>
      </xdr:nvSpPr>
      <xdr:spPr>
        <a:xfrm>
          <a:off x="11115674" y="47626"/>
          <a:ext cx="92678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000"/>
            <a:t>При появление в ячейке '!!!ВРУЧНУЮ!!!' - подсчитать пенализацию самостоятельно и внести в ячейку, сделать желтый фон в ячейке (чтобы не забыть)</a:t>
          </a:r>
        </a:p>
        <a:p>
          <a:r>
            <a:rPr lang="ru-RU" sz="1000"/>
            <a:t>Автоматически не считается  нарушение порядка</a:t>
          </a:r>
          <a:r>
            <a:rPr lang="ru-RU" sz="1000" baseline="0"/>
            <a:t> прохождения судейских пунктов - следить  самостоятельно</a:t>
          </a:r>
          <a:endParaRPr lang="ru-RU" sz="1000"/>
        </a:p>
      </xdr:txBody>
    </xdr:sp>
    <xdr:clientData/>
  </xdr:twoCellAnchor>
  <xdr:twoCellAnchor>
    <xdr:from>
      <xdr:col>33</xdr:col>
      <xdr:colOff>57150</xdr:colOff>
      <xdr:row>0</xdr:row>
      <xdr:rowOff>47625</xdr:rowOff>
    </xdr:from>
    <xdr:to>
      <xdr:col>39</xdr:col>
      <xdr:colOff>561975</xdr:colOff>
      <xdr:row>2</xdr:row>
      <xdr:rowOff>142875</xdr:rowOff>
    </xdr:to>
    <xdr:sp macro="" textlink="">
      <xdr:nvSpPr>
        <xdr:cNvPr id="4" name="TextBox 3"/>
        <xdr:cNvSpPr txBox="1"/>
      </xdr:nvSpPr>
      <xdr:spPr>
        <a:xfrm>
          <a:off x="27889200" y="47625"/>
          <a:ext cx="41624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ВКВ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ВКВ+300 сек</a:t>
          </a:r>
          <a:endParaRPr lang="ru-RU" sz="1100"/>
        </a:p>
      </xdr:txBody>
    </xdr:sp>
    <xdr:clientData/>
  </xdr:twoCellAnchor>
  <xdr:twoCellAnchor>
    <xdr:from>
      <xdr:col>41</xdr:col>
      <xdr:colOff>152400</xdr:colOff>
      <xdr:row>0</xdr:row>
      <xdr:rowOff>47625</xdr:rowOff>
    </xdr:from>
    <xdr:to>
      <xdr:col>48</xdr:col>
      <xdr:colOff>47625</xdr:colOff>
      <xdr:row>2</xdr:row>
      <xdr:rowOff>142875</xdr:rowOff>
    </xdr:to>
    <xdr:sp macro="" textlink="">
      <xdr:nvSpPr>
        <xdr:cNvPr id="5" name="TextBox 4"/>
        <xdr:cNvSpPr txBox="1"/>
      </xdr:nvSpPr>
      <xdr:spPr>
        <a:xfrm>
          <a:off x="32861250" y="47625"/>
          <a:ext cx="41624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РД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70</xdr:col>
      <xdr:colOff>47625</xdr:colOff>
      <xdr:row>0</xdr:row>
      <xdr:rowOff>47625</xdr:rowOff>
    </xdr:from>
    <xdr:to>
      <xdr:col>76</xdr:col>
      <xdr:colOff>552450</xdr:colOff>
      <xdr:row>2</xdr:row>
      <xdr:rowOff>142875</xdr:rowOff>
    </xdr:to>
    <xdr:sp macro="" textlink="">
      <xdr:nvSpPr>
        <xdr:cNvPr id="6" name="TextBox 5"/>
        <xdr:cNvSpPr txBox="1"/>
      </xdr:nvSpPr>
      <xdr:spPr>
        <a:xfrm>
          <a:off x="50434875" y="47625"/>
          <a:ext cx="41624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РД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79</xdr:col>
      <xdr:colOff>66675</xdr:colOff>
      <xdr:row>0</xdr:row>
      <xdr:rowOff>57150</xdr:rowOff>
    </xdr:from>
    <xdr:to>
      <xdr:col>85</xdr:col>
      <xdr:colOff>571500</xdr:colOff>
      <xdr:row>2</xdr:row>
      <xdr:rowOff>152400</xdr:rowOff>
    </xdr:to>
    <xdr:sp macro="" textlink="">
      <xdr:nvSpPr>
        <xdr:cNvPr id="7" name="TextBox 6"/>
        <xdr:cNvSpPr txBox="1"/>
      </xdr:nvSpPr>
      <xdr:spPr>
        <a:xfrm>
          <a:off x="55940325" y="57150"/>
          <a:ext cx="41624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РД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89</xdr:col>
      <xdr:colOff>47625</xdr:colOff>
      <xdr:row>0</xdr:row>
      <xdr:rowOff>57150</xdr:rowOff>
    </xdr:from>
    <xdr:to>
      <xdr:col>95</xdr:col>
      <xdr:colOff>552450</xdr:colOff>
      <xdr:row>2</xdr:row>
      <xdr:rowOff>152400</xdr:rowOff>
    </xdr:to>
    <xdr:sp macro="" textlink="">
      <xdr:nvSpPr>
        <xdr:cNvPr id="8" name="TextBox 7"/>
        <xdr:cNvSpPr txBox="1"/>
      </xdr:nvSpPr>
      <xdr:spPr>
        <a:xfrm>
          <a:off x="62017275" y="57150"/>
          <a:ext cx="41624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СЛ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61</xdr:col>
      <xdr:colOff>57150</xdr:colOff>
      <xdr:row>0</xdr:row>
      <xdr:rowOff>38100</xdr:rowOff>
    </xdr:from>
    <xdr:to>
      <xdr:col>67</xdr:col>
      <xdr:colOff>561975</xdr:colOff>
      <xdr:row>2</xdr:row>
      <xdr:rowOff>133350</xdr:rowOff>
    </xdr:to>
    <xdr:sp macro="" textlink="">
      <xdr:nvSpPr>
        <xdr:cNvPr id="9" name="TextBox 8"/>
        <xdr:cNvSpPr txBox="1"/>
      </xdr:nvSpPr>
      <xdr:spPr>
        <a:xfrm>
          <a:off x="44958000" y="38100"/>
          <a:ext cx="41624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РУ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  <xdr:twoCellAnchor>
    <xdr:from>
      <xdr:col>51</xdr:col>
      <xdr:colOff>57150</xdr:colOff>
      <xdr:row>0</xdr:row>
      <xdr:rowOff>47625</xdr:rowOff>
    </xdr:from>
    <xdr:to>
      <xdr:col>57</xdr:col>
      <xdr:colOff>561975</xdr:colOff>
      <xdr:row>2</xdr:row>
      <xdr:rowOff>142875</xdr:rowOff>
    </xdr:to>
    <xdr:sp macro="" textlink="">
      <xdr:nvSpPr>
        <xdr:cNvPr id="10" name="TextBox 9"/>
        <xdr:cNvSpPr txBox="1"/>
      </xdr:nvSpPr>
      <xdr:spPr>
        <a:xfrm>
          <a:off x="38862000" y="47625"/>
          <a:ext cx="4162425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ДС РД при подсчете вручную - 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худший результат из всех экипажей на этом ДС+10%</a:t>
          </a:r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136922</xdr:colOff>
      <xdr:row>0</xdr:row>
      <xdr:rowOff>1191</xdr:rowOff>
    </xdr:from>
    <xdr:to>
      <xdr:col>2</xdr:col>
      <xdr:colOff>386410</xdr:colOff>
      <xdr:row>2</xdr:row>
      <xdr:rowOff>211200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22" y="1191"/>
          <a:ext cx="1211513" cy="648159"/>
        </a:xfrm>
        <a:prstGeom prst="rect">
          <a:avLst/>
        </a:prstGeom>
      </xdr:spPr>
    </xdr:pic>
    <xdr:clientData/>
  </xdr:twoCellAnchor>
  <xdr:twoCellAnchor>
    <xdr:from>
      <xdr:col>3</xdr:col>
      <xdr:colOff>770967</xdr:colOff>
      <xdr:row>7</xdr:row>
      <xdr:rowOff>96440</xdr:rowOff>
    </xdr:from>
    <xdr:to>
      <xdr:col>3</xdr:col>
      <xdr:colOff>770967</xdr:colOff>
      <xdr:row>7</xdr:row>
      <xdr:rowOff>1425250</xdr:rowOff>
    </xdr:to>
    <xdr:cxnSp macro="">
      <xdr:nvCxnSpPr>
        <xdr:cNvPr id="77" name="Прямая со стрелкой 76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V="1">
          <a:off x="2317379" y="7088911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741556</xdr:colOff>
      <xdr:row>7</xdr:row>
      <xdr:rowOff>1361488</xdr:rowOff>
    </xdr:from>
    <xdr:to>
      <xdr:col>3</xdr:col>
      <xdr:colOff>816869</xdr:colOff>
      <xdr:row>7</xdr:row>
      <xdr:rowOff>1433488</xdr:rowOff>
    </xdr:to>
    <xdr:sp macro="" textlink="">
      <xdr:nvSpPr>
        <xdr:cNvPr id="78" name="Овал 77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287968" y="8353959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777039</xdr:colOff>
      <xdr:row>7</xdr:row>
      <xdr:rowOff>674122</xdr:rowOff>
    </xdr:from>
    <xdr:to>
      <xdr:col>3</xdr:col>
      <xdr:colOff>1473868</xdr:colOff>
      <xdr:row>7</xdr:row>
      <xdr:rowOff>744306</xdr:rowOff>
    </xdr:to>
    <xdr:cxnSp macro="">
      <xdr:nvCxnSpPr>
        <xdr:cNvPr id="79" name="Прямая со стрелкой 78">
          <a:extLst>
            <a:ext uri="{FF2B5EF4-FFF2-40B4-BE49-F238E27FC236}">
              <a16:creationId xmlns:a16="http://schemas.microsoft.com/office/drawing/2014/main" id="{00000000-0008-0000-0900-000038020000}"/>
            </a:ext>
          </a:extLst>
        </xdr:cNvPr>
        <xdr:cNvCxnSpPr/>
      </xdr:nvCxnSpPr>
      <xdr:spPr>
        <a:xfrm flipV="1">
          <a:off x="2323451" y="7666593"/>
          <a:ext cx="696829" cy="70184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1175007</xdr:colOff>
      <xdr:row>4</xdr:row>
      <xdr:rowOff>1983423</xdr:rowOff>
    </xdr:from>
    <xdr:to>
      <xdr:col>4</xdr:col>
      <xdr:colOff>1319302</xdr:colOff>
      <xdr:row>4</xdr:row>
      <xdr:rowOff>2127304</xdr:rowOff>
    </xdr:to>
    <xdr:sp macro="" textlink="">
      <xdr:nvSpPr>
        <xdr:cNvPr id="85" name="Овал 8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4299207" y="2859723"/>
          <a:ext cx="144295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119719</xdr:colOff>
      <xdr:row>4</xdr:row>
      <xdr:rowOff>1082530</xdr:rowOff>
    </xdr:from>
    <xdr:to>
      <xdr:col>3</xdr:col>
      <xdr:colOff>1398519</xdr:colOff>
      <xdr:row>4</xdr:row>
      <xdr:rowOff>2927073</xdr:rowOff>
    </xdr:to>
    <xdr:sp macro="" textlink="">
      <xdr:nvSpPr>
        <xdr:cNvPr id="90" name="TextBox 89"/>
        <xdr:cNvSpPr txBox="1"/>
      </xdr:nvSpPr>
      <xdr:spPr>
        <a:xfrm>
          <a:off x="1662769" y="1958830"/>
          <a:ext cx="1278800" cy="1844543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000" b="1"/>
            <a:t>Точка сбора "Южная"</a:t>
          </a:r>
        </a:p>
        <a:p>
          <a:pPr algn="l"/>
          <a:endParaRPr lang="ru-RU" sz="1000" b="1"/>
        </a:p>
        <a:p>
          <a:pPr algn="l"/>
          <a:r>
            <a:rPr lang="ru-RU" sz="1000" b="1"/>
            <a:t>Площадка</a:t>
          </a:r>
          <a:r>
            <a:rPr lang="ru-RU" sz="1000" b="1" baseline="0"/>
            <a:t> </a:t>
          </a:r>
          <a:r>
            <a:rPr lang="ru-RU" sz="1000" b="1"/>
            <a:t>возле ФОК "Юбилейный"</a:t>
          </a:r>
        </a:p>
        <a:p>
          <a:pPr algn="l"/>
          <a:endParaRPr lang="ru-RU" sz="1000" b="1"/>
        </a:p>
        <a:p>
          <a:pPr fontAlgn="base"/>
          <a:r>
            <a:rPr lang="en-US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54.763321 32.027079</a:t>
          </a:r>
          <a:endParaRPr lang="ru-RU" sz="10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fontAlgn="base"/>
          <a:endParaRPr lang="ru-RU" sz="10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0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54°45'48.0"N 32°01'37.5"E</a:t>
          </a:r>
        </a:p>
        <a:p>
          <a:pPr fontAlgn="base"/>
          <a:endParaRPr lang="en-US" sz="10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1278453</xdr:colOff>
      <xdr:row>4</xdr:row>
      <xdr:rowOff>1483581</xdr:rowOff>
    </xdr:from>
    <xdr:to>
      <xdr:col>6</xdr:col>
      <xdr:colOff>139277</xdr:colOff>
      <xdr:row>4</xdr:row>
      <xdr:rowOff>1771814</xdr:rowOff>
    </xdr:to>
    <xdr:sp macro="" textlink="">
      <xdr:nvSpPr>
        <xdr:cNvPr id="91" name="Прямоугольник 90"/>
        <xdr:cNvSpPr/>
      </xdr:nvSpPr>
      <xdr:spPr>
        <a:xfrm rot="19288169">
          <a:off x="4402653" y="2359881"/>
          <a:ext cx="1356374" cy="288233"/>
        </a:xfrm>
        <a:prstGeom prst="rect">
          <a:avLst/>
        </a:prstGeom>
        <a:noFill/>
        <a:ln w="38100">
          <a:noFill/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0">
              <a:solidFill>
                <a:sysClr val="windowText" lastClr="000000"/>
              </a:solidFill>
            </a:rPr>
            <a:t>Энергетический</a:t>
          </a:r>
          <a:r>
            <a:rPr lang="ru-RU" sz="1000" b="0" baseline="0">
              <a:solidFill>
                <a:sysClr val="windowText" lastClr="000000"/>
              </a:solidFill>
            </a:rPr>
            <a:t> пр-д</a:t>
          </a:r>
          <a:endParaRPr lang="ru-RU" sz="10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937377</xdr:colOff>
      <xdr:row>4</xdr:row>
      <xdr:rowOff>22660</xdr:rowOff>
    </xdr:from>
    <xdr:to>
      <xdr:col>4</xdr:col>
      <xdr:colOff>1226440</xdr:colOff>
      <xdr:row>4</xdr:row>
      <xdr:rowOff>1290472</xdr:rowOff>
    </xdr:to>
    <xdr:sp macro="" textlink="">
      <xdr:nvSpPr>
        <xdr:cNvPr id="92" name="Прямоугольник 91"/>
        <xdr:cNvSpPr/>
      </xdr:nvSpPr>
      <xdr:spPr>
        <a:xfrm rot="16200000">
          <a:off x="3572203" y="1388334"/>
          <a:ext cx="1267812" cy="289063"/>
        </a:xfrm>
        <a:prstGeom prst="rect">
          <a:avLst/>
        </a:prstGeom>
        <a:noFill/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000" b="0">
              <a:solidFill>
                <a:sysClr val="windowText" lastClr="000000"/>
              </a:solidFill>
            </a:rPr>
            <a:t>ул. Черняховского</a:t>
          </a:r>
        </a:p>
      </xdr:txBody>
    </xdr:sp>
    <xdr:clientData/>
  </xdr:twoCellAnchor>
  <xdr:twoCellAnchor>
    <xdr:from>
      <xdr:col>3</xdr:col>
      <xdr:colOff>71539</xdr:colOff>
      <xdr:row>6</xdr:row>
      <xdr:rowOff>575457</xdr:rowOff>
    </xdr:from>
    <xdr:to>
      <xdr:col>3</xdr:col>
      <xdr:colOff>1510315</xdr:colOff>
      <xdr:row>6</xdr:row>
      <xdr:rowOff>696200</xdr:rowOff>
    </xdr:to>
    <xdr:grpSp>
      <xdr:nvGrpSpPr>
        <xdr:cNvPr id="3" name="Группа 2"/>
        <xdr:cNvGrpSpPr/>
      </xdr:nvGrpSpPr>
      <xdr:grpSpPr>
        <a:xfrm rot="10800000">
          <a:off x="1614589" y="6023757"/>
          <a:ext cx="1438776" cy="120743"/>
          <a:chOff x="1640828" y="9323601"/>
          <a:chExt cx="1438776" cy="120743"/>
        </a:xfrm>
      </xdr:grpSpPr>
      <xdr:cxnSp macro="">
        <xdr:nvCxnSpPr>
          <xdr:cNvPr id="4" name="Прямая со стрелкой 3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 flipH="1">
            <a:off x="2718658" y="9346877"/>
            <a:ext cx="360946" cy="0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Прямая со стрелкой 4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 flipH="1">
            <a:off x="2718659" y="9421071"/>
            <a:ext cx="360945" cy="0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Прямая со стрелкой 5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10800000" flipV="1">
            <a:off x="3050726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" name="Прямая со стрелкой 6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10800000" flipV="1">
            <a:off x="3017685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" name="Прямая со стрелкой 7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10800000" flipV="1">
            <a:off x="2984644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" name="Прямая со стрелкой 8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10800000" flipV="1">
            <a:off x="2951603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Прямая со стрелкой 9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10800000" flipV="1">
            <a:off x="291856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Прямая со стрелкой 10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10800000" flipV="1">
            <a:off x="288552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" name="Прямая со стрелкой 11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10800000" flipV="1">
            <a:off x="285248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3" name="Прямая со стрелкой 12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10800000" flipV="1">
            <a:off x="281943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4" name="Прямая со стрелкой 13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10800000" flipV="1">
            <a:off x="2786398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5" name="Прямая со стрелкой 14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10800000" flipV="1">
            <a:off x="2753356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6" name="Прямая со стрелкой 15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 rot="5400000">
            <a:off x="1915402" y="9072303"/>
            <a:ext cx="0" cy="549148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 rot="5400000">
            <a:off x="1916552" y="9145347"/>
            <a:ext cx="0" cy="55144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10800000" flipV="1">
            <a:off x="2171144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10800000" flipV="1">
            <a:off x="2138103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10800000" flipV="1">
            <a:off x="210506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10800000" flipV="1">
            <a:off x="207202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10800000" flipV="1">
            <a:off x="203898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10800000" flipV="1">
            <a:off x="200593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10800000" flipV="1">
            <a:off x="1972897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10800000" flipV="1">
            <a:off x="1939856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10800000" flipV="1">
            <a:off x="1906815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10800000" flipV="1">
            <a:off x="1873774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10800000" flipV="1">
            <a:off x="1840733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10800000" flipV="1">
            <a:off x="180769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10800000" flipV="1">
            <a:off x="177465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" name="Прямая со стрелкой 30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10800000" flipV="1">
            <a:off x="174161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Прямая со стрелкой 31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10800000" flipV="1">
            <a:off x="170856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3" name="Прямая со стрелкой 32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10800000" flipV="1">
            <a:off x="1675527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4" name="Прямая со стрелкой 33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 rot="5400000">
            <a:off x="2451810" y="9072303"/>
            <a:ext cx="0" cy="549148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5" name="Прямая со стрелкой 34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 rot="5400000">
            <a:off x="2452960" y="9145347"/>
            <a:ext cx="0" cy="55144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6" name="Прямая со стрелкой 35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10800000" flipV="1">
            <a:off x="270755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7" name="Прямая со стрелкой 36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10800000" flipV="1">
            <a:off x="267451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8" name="Прямая со стрелкой 37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10800000" flipV="1">
            <a:off x="264147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" name="Прямая со стрелкой 38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10800000" flipV="1">
            <a:off x="260842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0" name="Прямая со стрелкой 39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10800000" flipV="1">
            <a:off x="2575388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1" name="Прямая со стрелкой 40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10800000" flipV="1">
            <a:off x="2542347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2" name="Прямая со стрелкой 41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10800000" flipV="1">
            <a:off x="2509305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" name="Прямая со стрелкой 42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10800000" flipV="1">
            <a:off x="2476264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" name="Прямая со стрелкой 43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10800000" flipV="1">
            <a:off x="2443223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5" name="Прямая со стрелкой 44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10800000" flipV="1">
            <a:off x="2410182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6" name="Прямая со стрелкой 45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10800000" flipV="1">
            <a:off x="2377141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7" name="Прямая со стрелкой 46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10800000" flipV="1">
            <a:off x="2344100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8" name="Прямая со стрелкой 47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10800000" flipV="1">
            <a:off x="2311059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9" name="Прямая со стрелкой 48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10800000" flipV="1">
            <a:off x="2278018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0" name="Прямая со стрелкой 49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10800000" flipV="1">
            <a:off x="2244977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1" name="Прямая со стрелкой 50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10800000" flipV="1">
            <a:off x="2211935" y="9323601"/>
            <a:ext cx="0" cy="120743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781289</xdr:colOff>
      <xdr:row>6</xdr:row>
      <xdr:rowOff>1374905</xdr:rowOff>
    </xdr:from>
    <xdr:to>
      <xdr:col>3</xdr:col>
      <xdr:colOff>856602</xdr:colOff>
      <xdr:row>6</xdr:row>
      <xdr:rowOff>1446905</xdr:rowOff>
    </xdr:to>
    <xdr:sp macro="" textlink="">
      <xdr:nvSpPr>
        <xdr:cNvPr id="68" name="Овал 67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 rot="10800000">
          <a:off x="2327060" y="6817762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815966</xdr:colOff>
      <xdr:row>6</xdr:row>
      <xdr:rowOff>494803</xdr:rowOff>
    </xdr:from>
    <xdr:to>
      <xdr:col>3</xdr:col>
      <xdr:colOff>1130041</xdr:colOff>
      <xdr:row>6</xdr:row>
      <xdr:rowOff>768089</xdr:rowOff>
    </xdr:to>
    <xdr:cxnSp macro="">
      <xdr:nvCxnSpPr>
        <xdr:cNvPr id="69" name="Прямая со стрелкой 68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rot="10800000">
          <a:off x="2361737" y="5937660"/>
          <a:ext cx="314075" cy="273286"/>
        </a:xfrm>
        <a:prstGeom prst="straightConnector1">
          <a:avLst/>
        </a:prstGeom>
        <a:ln w="19050"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816305</xdr:colOff>
      <xdr:row>6</xdr:row>
      <xdr:rowOff>97234</xdr:rowOff>
    </xdr:from>
    <xdr:to>
      <xdr:col>3</xdr:col>
      <xdr:colOff>816305</xdr:colOff>
      <xdr:row>6</xdr:row>
      <xdr:rowOff>1426044</xdr:rowOff>
    </xdr:to>
    <xdr:cxnSp macro="">
      <xdr:nvCxnSpPr>
        <xdr:cNvPr id="70" name="Прямая со стрелкой 69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rot="10800000">
          <a:off x="2362717" y="5565705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82524</xdr:colOff>
      <xdr:row>6</xdr:row>
      <xdr:rowOff>766246</xdr:rowOff>
    </xdr:from>
    <xdr:to>
      <xdr:col>3</xdr:col>
      <xdr:colOff>1529514</xdr:colOff>
      <xdr:row>6</xdr:row>
      <xdr:rowOff>766246</xdr:rowOff>
    </xdr:to>
    <xdr:cxnSp macro="">
      <xdr:nvCxnSpPr>
        <xdr:cNvPr id="71" name="Прямая со стрелкой 70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rot="10800000" flipH="1">
          <a:off x="1628295" y="6209103"/>
          <a:ext cx="1446990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813560</xdr:colOff>
      <xdr:row>6</xdr:row>
      <xdr:rowOff>769861</xdr:rowOff>
    </xdr:from>
    <xdr:to>
      <xdr:col>3</xdr:col>
      <xdr:colOff>1391418</xdr:colOff>
      <xdr:row>6</xdr:row>
      <xdr:rowOff>1306491</xdr:rowOff>
    </xdr:to>
    <xdr:sp macro="" textlink="">
      <xdr:nvSpPr>
        <xdr:cNvPr id="72" name="Дуга 71"/>
        <xdr:cNvSpPr/>
      </xdr:nvSpPr>
      <xdr:spPr>
        <a:xfrm rot="16200000">
          <a:off x="2379945" y="6192104"/>
          <a:ext cx="536630" cy="577858"/>
        </a:xfrm>
        <a:prstGeom prst="arc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500216</xdr:colOff>
      <xdr:row>6</xdr:row>
      <xdr:rowOff>769702</xdr:rowOff>
    </xdr:from>
    <xdr:to>
      <xdr:col>3</xdr:col>
      <xdr:colOff>812346</xdr:colOff>
      <xdr:row>6</xdr:row>
      <xdr:rowOff>1041295</xdr:rowOff>
    </xdr:to>
    <xdr:cxnSp macro="">
      <xdr:nvCxnSpPr>
        <xdr:cNvPr id="73" name="Прямая со стрелкой 72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rot="10800000">
          <a:off x="2045987" y="6212559"/>
          <a:ext cx="312130" cy="271593"/>
        </a:xfrm>
        <a:prstGeom prst="straightConnector1">
          <a:avLst/>
        </a:prstGeom>
        <a:ln w="19050"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459299</xdr:colOff>
      <xdr:row>6</xdr:row>
      <xdr:rowOff>537058</xdr:rowOff>
    </xdr:from>
    <xdr:to>
      <xdr:col>3</xdr:col>
      <xdr:colOff>813171</xdr:colOff>
      <xdr:row>6</xdr:row>
      <xdr:rowOff>763535</xdr:rowOff>
    </xdr:to>
    <xdr:cxnSp macro="">
      <xdr:nvCxnSpPr>
        <xdr:cNvPr id="84" name="Прямая со стрелкой 83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rot="10800000" flipV="1">
          <a:off x="2005070" y="5979915"/>
          <a:ext cx="353872" cy="226477"/>
        </a:xfrm>
        <a:prstGeom prst="straightConnector1">
          <a:avLst/>
        </a:prstGeom>
        <a:ln w="19050"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1492063</xdr:colOff>
      <xdr:row>4</xdr:row>
      <xdr:rowOff>135794</xdr:rowOff>
    </xdr:from>
    <xdr:to>
      <xdr:col>5</xdr:col>
      <xdr:colOff>991662</xdr:colOff>
      <xdr:row>4</xdr:row>
      <xdr:rowOff>2838817</xdr:rowOff>
    </xdr:to>
    <xdr:sp macro="" textlink="">
      <xdr:nvSpPr>
        <xdr:cNvPr id="116" name="Полилиния 115"/>
        <xdr:cNvSpPr/>
      </xdr:nvSpPr>
      <xdr:spPr>
        <a:xfrm>
          <a:off x="3035113" y="1012094"/>
          <a:ext cx="2461874" cy="2703023"/>
        </a:xfrm>
        <a:custGeom>
          <a:avLst/>
          <a:gdLst>
            <a:gd name="connsiteX0" fmla="*/ 1075765 w 2431676"/>
            <a:gd name="connsiteY0" fmla="*/ 0 h 2330823"/>
            <a:gd name="connsiteX1" fmla="*/ 1075765 w 2431676"/>
            <a:gd name="connsiteY1" fmla="*/ 493059 h 2330823"/>
            <a:gd name="connsiteX2" fmla="*/ 0 w 2431676"/>
            <a:gd name="connsiteY2" fmla="*/ 1311088 h 2330823"/>
            <a:gd name="connsiteX3" fmla="*/ 806824 w 2431676"/>
            <a:gd name="connsiteY3" fmla="*/ 2330823 h 2330823"/>
            <a:gd name="connsiteX4" fmla="*/ 2431676 w 2431676"/>
            <a:gd name="connsiteY4" fmla="*/ 1008529 h 2330823"/>
            <a:gd name="connsiteX0" fmla="*/ 1075765 w 2457906"/>
            <a:gd name="connsiteY0" fmla="*/ 0 h 2330823"/>
            <a:gd name="connsiteX1" fmla="*/ 1075765 w 2457906"/>
            <a:gd name="connsiteY1" fmla="*/ 493059 h 2330823"/>
            <a:gd name="connsiteX2" fmla="*/ 0 w 2457906"/>
            <a:gd name="connsiteY2" fmla="*/ 1311088 h 2330823"/>
            <a:gd name="connsiteX3" fmla="*/ 806824 w 2457906"/>
            <a:gd name="connsiteY3" fmla="*/ 2330823 h 2330823"/>
            <a:gd name="connsiteX4" fmla="*/ 2457906 w 2457906"/>
            <a:gd name="connsiteY4" fmla="*/ 988822 h 2330823"/>
            <a:gd name="connsiteX0" fmla="*/ 1075765 w 2457906"/>
            <a:gd name="connsiteY0" fmla="*/ 0 h 2652702"/>
            <a:gd name="connsiteX1" fmla="*/ 1075765 w 2457906"/>
            <a:gd name="connsiteY1" fmla="*/ 814938 h 2652702"/>
            <a:gd name="connsiteX2" fmla="*/ 0 w 2457906"/>
            <a:gd name="connsiteY2" fmla="*/ 1632967 h 2652702"/>
            <a:gd name="connsiteX3" fmla="*/ 806824 w 2457906"/>
            <a:gd name="connsiteY3" fmla="*/ 2652702 h 2652702"/>
            <a:gd name="connsiteX4" fmla="*/ 2457906 w 2457906"/>
            <a:gd name="connsiteY4" fmla="*/ 1310701 h 2652702"/>
            <a:gd name="connsiteX0" fmla="*/ 1090122 w 2457906"/>
            <a:gd name="connsiteY0" fmla="*/ 0 h 2692240"/>
            <a:gd name="connsiteX1" fmla="*/ 1075765 w 2457906"/>
            <a:gd name="connsiteY1" fmla="*/ 854476 h 2692240"/>
            <a:gd name="connsiteX2" fmla="*/ 0 w 2457906"/>
            <a:gd name="connsiteY2" fmla="*/ 1672505 h 2692240"/>
            <a:gd name="connsiteX3" fmla="*/ 806824 w 2457906"/>
            <a:gd name="connsiteY3" fmla="*/ 2692240 h 2692240"/>
            <a:gd name="connsiteX4" fmla="*/ 2457906 w 2457906"/>
            <a:gd name="connsiteY4" fmla="*/ 1350239 h 2692240"/>
            <a:gd name="connsiteX0" fmla="*/ 1072175 w 2457906"/>
            <a:gd name="connsiteY0" fmla="*/ 0 h 2703023"/>
            <a:gd name="connsiteX1" fmla="*/ 1075765 w 2457906"/>
            <a:gd name="connsiteY1" fmla="*/ 865259 h 2703023"/>
            <a:gd name="connsiteX2" fmla="*/ 0 w 2457906"/>
            <a:gd name="connsiteY2" fmla="*/ 1683288 h 2703023"/>
            <a:gd name="connsiteX3" fmla="*/ 806824 w 2457906"/>
            <a:gd name="connsiteY3" fmla="*/ 2703023 h 2703023"/>
            <a:gd name="connsiteX4" fmla="*/ 2457906 w 2457906"/>
            <a:gd name="connsiteY4" fmla="*/ 1361022 h 270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457906" h="2703023">
              <a:moveTo>
                <a:pt x="1072175" y="0"/>
              </a:moveTo>
              <a:cubicBezTo>
                <a:pt x="1073372" y="288420"/>
                <a:pt x="1074568" y="576839"/>
                <a:pt x="1075765" y="865259"/>
              </a:cubicBezTo>
              <a:lnTo>
                <a:pt x="0" y="1683288"/>
              </a:lnTo>
              <a:lnTo>
                <a:pt x="806824" y="2703023"/>
              </a:lnTo>
              <a:lnTo>
                <a:pt x="2457906" y="1361022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1286003</xdr:colOff>
      <xdr:row>4</xdr:row>
      <xdr:rowOff>135890</xdr:rowOff>
    </xdr:from>
    <xdr:to>
      <xdr:col>5</xdr:col>
      <xdr:colOff>990117</xdr:colOff>
      <xdr:row>4</xdr:row>
      <xdr:rowOff>1505318</xdr:rowOff>
    </xdr:to>
    <xdr:sp macro="" textlink="">
      <xdr:nvSpPr>
        <xdr:cNvPr id="117" name="Полилиния 116"/>
        <xdr:cNvSpPr/>
      </xdr:nvSpPr>
      <xdr:spPr>
        <a:xfrm>
          <a:off x="4410203" y="1012190"/>
          <a:ext cx="1085239" cy="1369428"/>
        </a:xfrm>
        <a:custGeom>
          <a:avLst/>
          <a:gdLst>
            <a:gd name="connsiteX0" fmla="*/ 0 w 986117"/>
            <a:gd name="connsiteY0" fmla="*/ 0 h 1030941"/>
            <a:gd name="connsiteX1" fmla="*/ 0 w 986117"/>
            <a:gd name="connsiteY1" fmla="*/ 537883 h 1030941"/>
            <a:gd name="connsiteX2" fmla="*/ 280147 w 986117"/>
            <a:gd name="connsiteY2" fmla="*/ 986118 h 1030941"/>
            <a:gd name="connsiteX3" fmla="*/ 504264 w 986117"/>
            <a:gd name="connsiteY3" fmla="*/ 1030941 h 1030941"/>
            <a:gd name="connsiteX4" fmla="*/ 986117 w 986117"/>
            <a:gd name="connsiteY4" fmla="*/ 661147 h 1030941"/>
            <a:gd name="connsiteX0" fmla="*/ 3587 w 986117"/>
            <a:gd name="connsiteY0" fmla="*/ 0 h 984214"/>
            <a:gd name="connsiteX1" fmla="*/ 0 w 986117"/>
            <a:gd name="connsiteY1" fmla="*/ 491156 h 984214"/>
            <a:gd name="connsiteX2" fmla="*/ 280147 w 986117"/>
            <a:gd name="connsiteY2" fmla="*/ 939391 h 984214"/>
            <a:gd name="connsiteX3" fmla="*/ 504264 w 986117"/>
            <a:gd name="connsiteY3" fmla="*/ 984214 h 984214"/>
            <a:gd name="connsiteX4" fmla="*/ 986117 w 986117"/>
            <a:gd name="connsiteY4" fmla="*/ 614420 h 984214"/>
            <a:gd name="connsiteX0" fmla="*/ 3587 w 1077974"/>
            <a:gd name="connsiteY0" fmla="*/ 0 h 984214"/>
            <a:gd name="connsiteX1" fmla="*/ 0 w 1077974"/>
            <a:gd name="connsiteY1" fmla="*/ 491156 h 984214"/>
            <a:gd name="connsiteX2" fmla="*/ 280147 w 1077974"/>
            <a:gd name="connsiteY2" fmla="*/ 939391 h 984214"/>
            <a:gd name="connsiteX3" fmla="*/ 504264 w 1077974"/>
            <a:gd name="connsiteY3" fmla="*/ 984214 h 984214"/>
            <a:gd name="connsiteX4" fmla="*/ 1077974 w 1077974"/>
            <a:gd name="connsiteY4" fmla="*/ 548731 h 984214"/>
            <a:gd name="connsiteX0" fmla="*/ 10148 w 1077974"/>
            <a:gd name="connsiteY0" fmla="*/ 0 h 1358645"/>
            <a:gd name="connsiteX1" fmla="*/ 0 w 1077974"/>
            <a:gd name="connsiteY1" fmla="*/ 865587 h 1358645"/>
            <a:gd name="connsiteX2" fmla="*/ 280147 w 1077974"/>
            <a:gd name="connsiteY2" fmla="*/ 1313822 h 1358645"/>
            <a:gd name="connsiteX3" fmla="*/ 504264 w 1077974"/>
            <a:gd name="connsiteY3" fmla="*/ 1358645 h 1358645"/>
            <a:gd name="connsiteX4" fmla="*/ 1077974 w 1077974"/>
            <a:gd name="connsiteY4" fmla="*/ 923162 h 1358645"/>
            <a:gd name="connsiteX0" fmla="*/ 145 w 1082322"/>
            <a:gd name="connsiteY0" fmla="*/ 0 h 1369428"/>
            <a:gd name="connsiteX1" fmla="*/ 4348 w 1082322"/>
            <a:gd name="connsiteY1" fmla="*/ 876370 h 1369428"/>
            <a:gd name="connsiteX2" fmla="*/ 284495 w 1082322"/>
            <a:gd name="connsiteY2" fmla="*/ 1324605 h 1369428"/>
            <a:gd name="connsiteX3" fmla="*/ 508612 w 1082322"/>
            <a:gd name="connsiteY3" fmla="*/ 1369428 h 1369428"/>
            <a:gd name="connsiteX4" fmla="*/ 1082322 w 1082322"/>
            <a:gd name="connsiteY4" fmla="*/ 933945 h 13694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82322" h="1369428">
              <a:moveTo>
                <a:pt x="145" y="0"/>
              </a:moveTo>
              <a:cubicBezTo>
                <a:pt x="-1051" y="163719"/>
                <a:pt x="5544" y="712651"/>
                <a:pt x="4348" y="876370"/>
              </a:cubicBezTo>
              <a:lnTo>
                <a:pt x="284495" y="1324605"/>
              </a:lnTo>
              <a:lnTo>
                <a:pt x="508612" y="1369428"/>
              </a:lnTo>
              <a:lnTo>
                <a:pt x="1082322" y="933945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1212421</xdr:colOff>
      <xdr:row>4</xdr:row>
      <xdr:rowOff>148425</xdr:rowOff>
    </xdr:from>
    <xdr:to>
      <xdr:col>5</xdr:col>
      <xdr:colOff>263303</xdr:colOff>
      <xdr:row>4</xdr:row>
      <xdr:rowOff>2048561</xdr:rowOff>
    </xdr:to>
    <xdr:sp macro="" textlink="">
      <xdr:nvSpPr>
        <xdr:cNvPr id="118" name="Полилиния 117"/>
        <xdr:cNvSpPr/>
      </xdr:nvSpPr>
      <xdr:spPr>
        <a:xfrm>
          <a:off x="4336621" y="1024725"/>
          <a:ext cx="432007" cy="1900136"/>
        </a:xfrm>
        <a:custGeom>
          <a:avLst/>
          <a:gdLst>
            <a:gd name="connsiteX0" fmla="*/ 33618 w 324971"/>
            <a:gd name="connsiteY0" fmla="*/ 1490382 h 1490382"/>
            <a:gd name="connsiteX1" fmla="*/ 324971 w 324971"/>
            <a:gd name="connsiteY1" fmla="*/ 1243853 h 1490382"/>
            <a:gd name="connsiteX2" fmla="*/ 0 w 324971"/>
            <a:gd name="connsiteY2" fmla="*/ 818029 h 1490382"/>
            <a:gd name="connsiteX3" fmla="*/ 0 w 324971"/>
            <a:gd name="connsiteY3" fmla="*/ 0 h 1490382"/>
            <a:gd name="connsiteX0" fmla="*/ 33618 w 324971"/>
            <a:gd name="connsiteY0" fmla="*/ 1490382 h 1490382"/>
            <a:gd name="connsiteX1" fmla="*/ 324971 w 324971"/>
            <a:gd name="connsiteY1" fmla="*/ 1243853 h 1490382"/>
            <a:gd name="connsiteX2" fmla="*/ 0 w 324971"/>
            <a:gd name="connsiteY2" fmla="*/ 483755 h 1490382"/>
            <a:gd name="connsiteX3" fmla="*/ 0 w 324971"/>
            <a:gd name="connsiteY3" fmla="*/ 0 h 1490382"/>
            <a:gd name="connsiteX0" fmla="*/ 33618 w 428599"/>
            <a:gd name="connsiteY0" fmla="*/ 1490382 h 1490382"/>
            <a:gd name="connsiteX1" fmla="*/ 428599 w 428599"/>
            <a:gd name="connsiteY1" fmla="*/ 1153995 h 1490382"/>
            <a:gd name="connsiteX2" fmla="*/ 0 w 428599"/>
            <a:gd name="connsiteY2" fmla="*/ 483755 h 1490382"/>
            <a:gd name="connsiteX3" fmla="*/ 0 w 428599"/>
            <a:gd name="connsiteY3" fmla="*/ 0 h 1490382"/>
            <a:gd name="connsiteX0" fmla="*/ 33618 w 428599"/>
            <a:gd name="connsiteY0" fmla="*/ 1900136 h 1900136"/>
            <a:gd name="connsiteX1" fmla="*/ 428599 w 428599"/>
            <a:gd name="connsiteY1" fmla="*/ 1563749 h 1900136"/>
            <a:gd name="connsiteX2" fmla="*/ 0 w 428599"/>
            <a:gd name="connsiteY2" fmla="*/ 893509 h 1900136"/>
            <a:gd name="connsiteX3" fmla="*/ 0 w 428599"/>
            <a:gd name="connsiteY3" fmla="*/ 0 h 19001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428599" h="1900136">
              <a:moveTo>
                <a:pt x="33618" y="1900136"/>
              </a:moveTo>
              <a:lnTo>
                <a:pt x="428599" y="1563749"/>
              </a:lnTo>
              <a:lnTo>
                <a:pt x="0" y="893509"/>
              </a:lnTo>
              <a:lnTo>
                <a:pt x="0" y="0"/>
              </a:lnTo>
            </a:path>
          </a:pathLst>
        </a:custGeom>
        <a:noFill/>
        <a:ln w="34925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466807</xdr:colOff>
      <xdr:row>4</xdr:row>
      <xdr:rowOff>1100469</xdr:rowOff>
    </xdr:from>
    <xdr:ext cx="676083" cy="1219436"/>
    <xdr:sp macro="" textlink="">
      <xdr:nvSpPr>
        <xdr:cNvPr id="119" name="TextBox 118"/>
        <xdr:cNvSpPr txBox="1"/>
      </xdr:nvSpPr>
      <xdr:spPr>
        <a:xfrm>
          <a:off x="3591007" y="1976769"/>
          <a:ext cx="676083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7200" b="1">
              <a:solidFill>
                <a:schemeClr val="tx2">
                  <a:lumMod val="60000"/>
                  <a:lumOff val="40000"/>
                </a:schemeClr>
              </a:solidFill>
            </a:rPr>
            <a:t>P</a:t>
          </a:r>
          <a:endParaRPr lang="ru-RU" sz="72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3</xdr:col>
      <xdr:colOff>1389683</xdr:colOff>
      <xdr:row>4</xdr:row>
      <xdr:rowOff>2059119</xdr:rowOff>
    </xdr:from>
    <xdr:to>
      <xdr:col>4</xdr:col>
      <xdr:colOff>1140202</xdr:colOff>
      <xdr:row>4</xdr:row>
      <xdr:rowOff>2566198</xdr:rowOff>
    </xdr:to>
    <xdr:sp macro="" textlink="">
      <xdr:nvSpPr>
        <xdr:cNvPr id="93" name="Полилиния 92"/>
        <xdr:cNvSpPr/>
      </xdr:nvSpPr>
      <xdr:spPr>
        <a:xfrm flipH="1">
          <a:off x="2932733" y="2935419"/>
          <a:ext cx="1331669" cy="507079"/>
        </a:xfrm>
        <a:custGeom>
          <a:avLst/>
          <a:gdLst>
            <a:gd name="connsiteX0" fmla="*/ 343580 w 343580"/>
            <a:gd name="connsiteY0" fmla="*/ 0 h 496660"/>
            <a:gd name="connsiteX1" fmla="*/ 0 w 343580"/>
            <a:gd name="connsiteY1" fmla="*/ 496660 h 496660"/>
            <a:gd name="connsiteX2" fmla="*/ 340178 w 343580"/>
            <a:gd name="connsiteY2" fmla="*/ 425223 h 496660"/>
            <a:gd name="connsiteX3" fmla="*/ 343580 w 343580"/>
            <a:gd name="connsiteY3" fmla="*/ 0 h 496660"/>
            <a:gd name="connsiteX0" fmla="*/ 343580 w 343580"/>
            <a:gd name="connsiteY0" fmla="*/ 0 h 541981"/>
            <a:gd name="connsiteX1" fmla="*/ 0 w 343580"/>
            <a:gd name="connsiteY1" fmla="*/ 496660 h 541981"/>
            <a:gd name="connsiteX2" fmla="*/ 278726 w 343580"/>
            <a:gd name="connsiteY2" fmla="*/ 541981 h 541981"/>
            <a:gd name="connsiteX3" fmla="*/ 343580 w 343580"/>
            <a:gd name="connsiteY3" fmla="*/ 0 h 541981"/>
            <a:gd name="connsiteX0" fmla="*/ 349725 w 349725"/>
            <a:gd name="connsiteY0" fmla="*/ 0 h 581924"/>
            <a:gd name="connsiteX1" fmla="*/ 0 w 349725"/>
            <a:gd name="connsiteY1" fmla="*/ 536603 h 581924"/>
            <a:gd name="connsiteX2" fmla="*/ 278726 w 349725"/>
            <a:gd name="connsiteY2" fmla="*/ 581924 h 581924"/>
            <a:gd name="connsiteX3" fmla="*/ 349725 w 349725"/>
            <a:gd name="connsiteY3" fmla="*/ 0 h 581924"/>
            <a:gd name="connsiteX0" fmla="*/ 349725 w 349725"/>
            <a:gd name="connsiteY0" fmla="*/ 0 h 536603"/>
            <a:gd name="connsiteX1" fmla="*/ 0 w 349725"/>
            <a:gd name="connsiteY1" fmla="*/ 536603 h 536603"/>
            <a:gd name="connsiteX2" fmla="*/ 343250 w 349725"/>
            <a:gd name="connsiteY2" fmla="*/ 480529 h 536603"/>
            <a:gd name="connsiteX3" fmla="*/ 349725 w 349725"/>
            <a:gd name="connsiteY3" fmla="*/ 0 h 536603"/>
            <a:gd name="connsiteX0" fmla="*/ 349725 w 349725"/>
            <a:gd name="connsiteY0" fmla="*/ 0 h 374678"/>
            <a:gd name="connsiteX1" fmla="*/ 0 w 349725"/>
            <a:gd name="connsiteY1" fmla="*/ 374678 h 374678"/>
            <a:gd name="connsiteX2" fmla="*/ 343250 w 349725"/>
            <a:gd name="connsiteY2" fmla="*/ 318604 h 374678"/>
            <a:gd name="connsiteX3" fmla="*/ 349725 w 349725"/>
            <a:gd name="connsiteY3" fmla="*/ 0 h 374678"/>
            <a:gd name="connsiteX0" fmla="*/ 1015475 w 1015475"/>
            <a:gd name="connsiteY0" fmla="*/ 0 h 359142"/>
            <a:gd name="connsiteX1" fmla="*/ 0 w 1015475"/>
            <a:gd name="connsiteY1" fmla="*/ 359142 h 359142"/>
            <a:gd name="connsiteX2" fmla="*/ 1009000 w 1015475"/>
            <a:gd name="connsiteY2" fmla="*/ 318604 h 359142"/>
            <a:gd name="connsiteX3" fmla="*/ 1015475 w 1015475"/>
            <a:gd name="connsiteY3" fmla="*/ 0 h 359142"/>
            <a:gd name="connsiteX0" fmla="*/ 1073366 w 1073366"/>
            <a:gd name="connsiteY0" fmla="*/ 0 h 359142"/>
            <a:gd name="connsiteX1" fmla="*/ 0 w 1073366"/>
            <a:gd name="connsiteY1" fmla="*/ 359142 h 359142"/>
            <a:gd name="connsiteX2" fmla="*/ 1066891 w 1073366"/>
            <a:gd name="connsiteY2" fmla="*/ 318604 h 359142"/>
            <a:gd name="connsiteX3" fmla="*/ 1073366 w 1073366"/>
            <a:gd name="connsiteY3" fmla="*/ 0 h 359142"/>
            <a:gd name="connsiteX0" fmla="*/ 1073366 w 1075130"/>
            <a:gd name="connsiteY0" fmla="*/ 0 h 899078"/>
            <a:gd name="connsiteX1" fmla="*/ 0 w 1075130"/>
            <a:gd name="connsiteY1" fmla="*/ 359142 h 899078"/>
            <a:gd name="connsiteX2" fmla="*/ 1074624 w 1075130"/>
            <a:gd name="connsiteY2" fmla="*/ 898634 h 899078"/>
            <a:gd name="connsiteX3" fmla="*/ 1073366 w 1075130"/>
            <a:gd name="connsiteY3" fmla="*/ 0 h 899078"/>
            <a:gd name="connsiteX0" fmla="*/ 1081099 w 1081099"/>
            <a:gd name="connsiteY0" fmla="*/ 63897 h 540381"/>
            <a:gd name="connsiteX1" fmla="*/ 0 w 1081099"/>
            <a:gd name="connsiteY1" fmla="*/ 445 h 540381"/>
            <a:gd name="connsiteX2" fmla="*/ 1074624 w 1081099"/>
            <a:gd name="connsiteY2" fmla="*/ 539937 h 540381"/>
            <a:gd name="connsiteX3" fmla="*/ 1081099 w 1081099"/>
            <a:gd name="connsiteY3" fmla="*/ 63897 h 540381"/>
            <a:gd name="connsiteX0" fmla="*/ 1081099 w 1081099"/>
            <a:gd name="connsiteY0" fmla="*/ 63986 h 441126"/>
            <a:gd name="connsiteX1" fmla="*/ 0 w 1081099"/>
            <a:gd name="connsiteY1" fmla="*/ 534 h 441126"/>
            <a:gd name="connsiteX2" fmla="*/ 1066891 w 1081099"/>
            <a:gd name="connsiteY2" fmla="*/ 440593 h 441126"/>
            <a:gd name="connsiteX3" fmla="*/ 1081099 w 1081099"/>
            <a:gd name="connsiteY3" fmla="*/ 63986 h 4411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81099" h="441126">
              <a:moveTo>
                <a:pt x="1081099" y="63986"/>
              </a:moveTo>
              <a:lnTo>
                <a:pt x="0" y="534"/>
              </a:lnTo>
              <a:cubicBezTo>
                <a:pt x="114417" y="-18157"/>
                <a:pt x="952474" y="459284"/>
                <a:pt x="1066891" y="440593"/>
              </a:cubicBezTo>
              <a:cubicBezTo>
                <a:pt x="1069049" y="280417"/>
                <a:pt x="1078941" y="224162"/>
                <a:pt x="1081099" y="63986"/>
              </a:cubicBezTo>
              <a:close/>
            </a:path>
          </a:pathLst>
        </a:cu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774387</xdr:colOff>
      <xdr:row>5</xdr:row>
      <xdr:rowOff>1370373</xdr:rowOff>
    </xdr:from>
    <xdr:to>
      <xdr:col>3</xdr:col>
      <xdr:colOff>849700</xdr:colOff>
      <xdr:row>5</xdr:row>
      <xdr:rowOff>1442373</xdr:rowOff>
    </xdr:to>
    <xdr:sp macro="" textlink="">
      <xdr:nvSpPr>
        <xdr:cNvPr id="120" name="Овал 119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317437" y="5294673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803798</xdr:colOff>
      <xdr:row>5</xdr:row>
      <xdr:rowOff>95800</xdr:rowOff>
    </xdr:from>
    <xdr:to>
      <xdr:col>3</xdr:col>
      <xdr:colOff>803798</xdr:colOff>
      <xdr:row>5</xdr:row>
      <xdr:rowOff>1424610</xdr:rowOff>
    </xdr:to>
    <xdr:cxnSp macro="">
      <xdr:nvCxnSpPr>
        <xdr:cNvPr id="121" name="Прямая со стрелкой 120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V="1">
          <a:off x="2346848" y="4020100"/>
          <a:ext cx="0" cy="1328810"/>
        </a:xfrm>
        <a:prstGeom prst="straightConnector1">
          <a:avLst/>
        </a:prstGeom>
        <a:ln w="19050">
          <a:tailEnd type="non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90589</xdr:colOff>
      <xdr:row>5</xdr:row>
      <xdr:rowOff>755598</xdr:rowOff>
    </xdr:from>
    <xdr:to>
      <xdr:col>3</xdr:col>
      <xdr:colOff>1537579</xdr:colOff>
      <xdr:row>5</xdr:row>
      <xdr:rowOff>755598</xdr:rowOff>
    </xdr:to>
    <xdr:cxnSp macro="">
      <xdr:nvCxnSpPr>
        <xdr:cNvPr id="122" name="Прямая со стрелкой 121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>
          <a:off x="1633639" y="4679898"/>
          <a:ext cx="1446990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870857</xdr:colOff>
      <xdr:row>5</xdr:row>
      <xdr:rowOff>821133</xdr:rowOff>
    </xdr:from>
    <xdr:to>
      <xdr:col>3</xdr:col>
      <xdr:colOff>942857</xdr:colOff>
      <xdr:row>5</xdr:row>
      <xdr:rowOff>893133</xdr:rowOff>
    </xdr:to>
    <xdr:sp macro="" textlink="">
      <xdr:nvSpPr>
        <xdr:cNvPr id="124" name="5-конечная звезда 123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SpPr/>
      </xdr:nvSpPr>
      <xdr:spPr>
        <a:xfrm>
          <a:off x="2422071" y="4739990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1056527</xdr:colOff>
      <xdr:row>5</xdr:row>
      <xdr:rowOff>340177</xdr:rowOff>
    </xdr:from>
    <xdr:to>
      <xdr:col>4</xdr:col>
      <xdr:colOff>1354702</xdr:colOff>
      <xdr:row>5</xdr:row>
      <xdr:rowOff>1205613</xdr:rowOff>
    </xdr:to>
    <xdr:grpSp>
      <xdr:nvGrpSpPr>
        <xdr:cNvPr id="125" name="Группа 124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4180727" y="4264477"/>
          <a:ext cx="298175" cy="865436"/>
          <a:chOff x="635632" y="15053070"/>
          <a:chExt cx="102554" cy="297657"/>
        </a:xfrm>
      </xdr:grpSpPr>
      <xdr:sp macro="" textlink="">
        <xdr:nvSpPr>
          <xdr:cNvPr id="126" name="Прямоугольник 125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7" name="Овал 126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8" name="Овал 127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29" name="Овал 128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775115</xdr:colOff>
      <xdr:row>10</xdr:row>
      <xdr:rowOff>85725</xdr:rowOff>
    </xdr:from>
    <xdr:to>
      <xdr:col>3</xdr:col>
      <xdr:colOff>775115</xdr:colOff>
      <xdr:row>10</xdr:row>
      <xdr:rowOff>1397681</xdr:rowOff>
    </xdr:to>
    <xdr:cxnSp macro="">
      <xdr:nvCxnSpPr>
        <xdr:cNvPr id="98" name="Прямая со стрелкой 9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8165" y="10106025"/>
          <a:ext cx="0" cy="1311956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734122</xdr:colOff>
      <xdr:row>10</xdr:row>
      <xdr:rowOff>1379982</xdr:rowOff>
    </xdr:from>
    <xdr:to>
      <xdr:col>3</xdr:col>
      <xdr:colOff>806122</xdr:colOff>
      <xdr:row>10</xdr:row>
      <xdr:rowOff>1451982</xdr:rowOff>
    </xdr:to>
    <xdr:sp macro="" textlink="">
      <xdr:nvSpPr>
        <xdr:cNvPr id="107" name="Овал 10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7172" y="114002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514350</xdr:colOff>
      <xdr:row>10</xdr:row>
      <xdr:rowOff>731296</xdr:rowOff>
    </xdr:from>
    <xdr:to>
      <xdr:col>3</xdr:col>
      <xdr:colOff>586350</xdr:colOff>
      <xdr:row>10</xdr:row>
      <xdr:rowOff>803296</xdr:rowOff>
    </xdr:to>
    <xdr:sp macro="" textlink="">
      <xdr:nvSpPr>
        <xdr:cNvPr id="111" name="5-конечная звезда 110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57400" y="107515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773445</xdr:colOff>
      <xdr:row>8</xdr:row>
      <xdr:rowOff>1341808</xdr:rowOff>
    </xdr:from>
    <xdr:to>
      <xdr:col>3</xdr:col>
      <xdr:colOff>848758</xdr:colOff>
      <xdr:row>8</xdr:row>
      <xdr:rowOff>1413808</xdr:rowOff>
    </xdr:to>
    <xdr:sp macro="" textlink="">
      <xdr:nvSpPr>
        <xdr:cNvPr id="141" name="Овал 140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319857" y="9858279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802856</xdr:colOff>
      <xdr:row>8</xdr:row>
      <xdr:rowOff>67235</xdr:rowOff>
    </xdr:from>
    <xdr:to>
      <xdr:col>3</xdr:col>
      <xdr:colOff>802856</xdr:colOff>
      <xdr:row>8</xdr:row>
      <xdr:rowOff>1396045</xdr:rowOff>
    </xdr:to>
    <xdr:cxnSp macro="">
      <xdr:nvCxnSpPr>
        <xdr:cNvPr id="142" name="Прямая со стрелкой 141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V="1">
          <a:off x="2349268" y="8583706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89647</xdr:colOff>
      <xdr:row>8</xdr:row>
      <xdr:rowOff>727033</xdr:rowOff>
    </xdr:from>
    <xdr:to>
      <xdr:col>3</xdr:col>
      <xdr:colOff>1536637</xdr:colOff>
      <xdr:row>8</xdr:row>
      <xdr:rowOff>727033</xdr:rowOff>
    </xdr:to>
    <xdr:cxnSp macro="">
      <xdr:nvCxnSpPr>
        <xdr:cNvPr id="143" name="Прямая со стрелкой 142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>
          <a:off x="1636059" y="9243504"/>
          <a:ext cx="1446990" cy="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869915</xdr:colOff>
      <xdr:row>8</xdr:row>
      <xdr:rowOff>792568</xdr:rowOff>
    </xdr:from>
    <xdr:to>
      <xdr:col>3</xdr:col>
      <xdr:colOff>941915</xdr:colOff>
      <xdr:row>8</xdr:row>
      <xdr:rowOff>864568</xdr:rowOff>
    </xdr:to>
    <xdr:sp macro="" textlink="">
      <xdr:nvSpPr>
        <xdr:cNvPr id="144" name="5-конечная звезда 143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SpPr/>
      </xdr:nvSpPr>
      <xdr:spPr>
        <a:xfrm>
          <a:off x="2416327" y="930903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1086971</xdr:colOff>
      <xdr:row>8</xdr:row>
      <xdr:rowOff>280147</xdr:rowOff>
    </xdr:from>
    <xdr:to>
      <xdr:col>5</xdr:col>
      <xdr:colOff>6822</xdr:colOff>
      <xdr:row>8</xdr:row>
      <xdr:rowOff>1145583</xdr:rowOff>
    </xdr:to>
    <xdr:grpSp>
      <xdr:nvGrpSpPr>
        <xdr:cNvPr id="145" name="Группа 144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4211171" y="8776447"/>
          <a:ext cx="300976" cy="865436"/>
          <a:chOff x="635632" y="15053070"/>
          <a:chExt cx="102554" cy="297657"/>
        </a:xfrm>
      </xdr:grpSpPr>
      <xdr:sp macro="" textlink="">
        <xdr:nvSpPr>
          <xdr:cNvPr id="146" name="Прямоугольник 145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7" name="Овал 146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8" name="Овал 147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9" name="Овал 148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4</xdr:col>
      <xdr:colOff>343129</xdr:colOff>
      <xdr:row>9</xdr:row>
      <xdr:rowOff>2753310</xdr:rowOff>
    </xdr:from>
    <xdr:to>
      <xdr:col>4</xdr:col>
      <xdr:colOff>487424</xdr:colOff>
      <xdr:row>9</xdr:row>
      <xdr:rowOff>2897191</xdr:rowOff>
    </xdr:to>
    <xdr:sp macro="" textlink="">
      <xdr:nvSpPr>
        <xdr:cNvPr id="105" name="Овал 10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3467329" y="12773610"/>
          <a:ext cx="144295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3</xdr:col>
      <xdr:colOff>1376045</xdr:colOff>
      <xdr:row>9</xdr:row>
      <xdr:rowOff>673682</xdr:rowOff>
    </xdr:from>
    <xdr:ext cx="676083" cy="1219436"/>
    <xdr:sp macro="" textlink="">
      <xdr:nvSpPr>
        <xdr:cNvPr id="106" name="TextBox 105"/>
        <xdr:cNvSpPr txBox="1"/>
      </xdr:nvSpPr>
      <xdr:spPr>
        <a:xfrm>
          <a:off x="2919095" y="10693982"/>
          <a:ext cx="676083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7200" b="1">
              <a:solidFill>
                <a:schemeClr val="tx2">
                  <a:lumMod val="60000"/>
                  <a:lumOff val="40000"/>
                </a:schemeClr>
              </a:solidFill>
            </a:rPr>
            <a:t>P</a:t>
          </a:r>
          <a:endParaRPr lang="ru-RU" sz="72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3</xdr:col>
      <xdr:colOff>557611</xdr:colOff>
      <xdr:row>9</xdr:row>
      <xdr:rowOff>200025</xdr:rowOff>
    </xdr:from>
    <xdr:to>
      <xdr:col>5</xdr:col>
      <xdr:colOff>330827</xdr:colOff>
      <xdr:row>9</xdr:row>
      <xdr:rowOff>2700157</xdr:rowOff>
    </xdr:to>
    <xdr:sp macro="" textlink="">
      <xdr:nvSpPr>
        <xdr:cNvPr id="108" name="Полилиния 107"/>
        <xdr:cNvSpPr/>
      </xdr:nvSpPr>
      <xdr:spPr>
        <a:xfrm>
          <a:off x="2100661" y="10220325"/>
          <a:ext cx="2735491" cy="2500132"/>
        </a:xfrm>
        <a:custGeom>
          <a:avLst/>
          <a:gdLst>
            <a:gd name="connsiteX0" fmla="*/ 2733261 w 2733261"/>
            <a:gd name="connsiteY0" fmla="*/ 0 h 2807804"/>
            <a:gd name="connsiteX1" fmla="*/ 2733261 w 2733261"/>
            <a:gd name="connsiteY1" fmla="*/ 1300369 h 2807804"/>
            <a:gd name="connsiteX2" fmla="*/ 2236305 w 2733261"/>
            <a:gd name="connsiteY2" fmla="*/ 1300369 h 2807804"/>
            <a:gd name="connsiteX3" fmla="*/ 2236305 w 2733261"/>
            <a:gd name="connsiteY3" fmla="*/ 289891 h 2807804"/>
            <a:gd name="connsiteX4" fmla="*/ 381000 w 2733261"/>
            <a:gd name="connsiteY4" fmla="*/ 289891 h 2807804"/>
            <a:gd name="connsiteX5" fmla="*/ 381000 w 2733261"/>
            <a:gd name="connsiteY5" fmla="*/ 579782 h 2807804"/>
            <a:gd name="connsiteX6" fmla="*/ 149087 w 2733261"/>
            <a:gd name="connsiteY6" fmla="*/ 811695 h 2807804"/>
            <a:gd name="connsiteX7" fmla="*/ 0 w 2733261"/>
            <a:gd name="connsiteY7" fmla="*/ 811695 h 2807804"/>
            <a:gd name="connsiteX8" fmla="*/ 0 w 2733261"/>
            <a:gd name="connsiteY8" fmla="*/ 2426804 h 2807804"/>
            <a:gd name="connsiteX9" fmla="*/ 1027044 w 2733261"/>
            <a:gd name="connsiteY9" fmla="*/ 2426804 h 2807804"/>
            <a:gd name="connsiteX10" fmla="*/ 1027044 w 2733261"/>
            <a:gd name="connsiteY10" fmla="*/ 2807804 h 2807804"/>
            <a:gd name="connsiteX0" fmla="*/ 2733261 w 2733261"/>
            <a:gd name="connsiteY0" fmla="*/ 1010478 h 2517913"/>
            <a:gd name="connsiteX1" fmla="*/ 2236305 w 2733261"/>
            <a:gd name="connsiteY1" fmla="*/ 1010478 h 2517913"/>
            <a:gd name="connsiteX2" fmla="*/ 2236305 w 2733261"/>
            <a:gd name="connsiteY2" fmla="*/ 0 h 2517913"/>
            <a:gd name="connsiteX3" fmla="*/ 381000 w 2733261"/>
            <a:gd name="connsiteY3" fmla="*/ 0 h 2517913"/>
            <a:gd name="connsiteX4" fmla="*/ 381000 w 2733261"/>
            <a:gd name="connsiteY4" fmla="*/ 289891 h 2517913"/>
            <a:gd name="connsiteX5" fmla="*/ 149087 w 2733261"/>
            <a:gd name="connsiteY5" fmla="*/ 521804 h 2517913"/>
            <a:gd name="connsiteX6" fmla="*/ 0 w 2733261"/>
            <a:gd name="connsiteY6" fmla="*/ 521804 h 2517913"/>
            <a:gd name="connsiteX7" fmla="*/ 0 w 2733261"/>
            <a:gd name="connsiteY7" fmla="*/ 2136913 h 2517913"/>
            <a:gd name="connsiteX8" fmla="*/ 1027044 w 2733261"/>
            <a:gd name="connsiteY8" fmla="*/ 2136913 h 2517913"/>
            <a:gd name="connsiteX9" fmla="*/ 1027044 w 2733261"/>
            <a:gd name="connsiteY9" fmla="*/ 2517913 h 2517913"/>
            <a:gd name="connsiteX0" fmla="*/ 2733261 w 2733261"/>
            <a:gd name="connsiteY0" fmla="*/ 1010478 h 2517913"/>
            <a:gd name="connsiteX1" fmla="*/ 2236305 w 2733261"/>
            <a:gd name="connsiteY1" fmla="*/ 1010478 h 2517913"/>
            <a:gd name="connsiteX2" fmla="*/ 2236305 w 2733261"/>
            <a:gd name="connsiteY2" fmla="*/ 0 h 2517913"/>
            <a:gd name="connsiteX3" fmla="*/ 381000 w 2733261"/>
            <a:gd name="connsiteY3" fmla="*/ 0 h 2517913"/>
            <a:gd name="connsiteX4" fmla="*/ 381000 w 2733261"/>
            <a:gd name="connsiteY4" fmla="*/ 289891 h 2517913"/>
            <a:gd name="connsiteX5" fmla="*/ 149087 w 2733261"/>
            <a:gd name="connsiteY5" fmla="*/ 521804 h 2517913"/>
            <a:gd name="connsiteX6" fmla="*/ 0 w 2733261"/>
            <a:gd name="connsiteY6" fmla="*/ 521804 h 2517913"/>
            <a:gd name="connsiteX7" fmla="*/ 0 w 2733261"/>
            <a:gd name="connsiteY7" fmla="*/ 2136913 h 2517913"/>
            <a:gd name="connsiteX8" fmla="*/ 1027044 w 2733261"/>
            <a:gd name="connsiteY8" fmla="*/ 2136913 h 2517913"/>
            <a:gd name="connsiteX9" fmla="*/ 1025049 w 2733261"/>
            <a:gd name="connsiteY9" fmla="*/ 2422411 h 2517913"/>
            <a:gd name="connsiteX10" fmla="*/ 1027044 w 2733261"/>
            <a:gd name="connsiteY10" fmla="*/ 2517913 h 2517913"/>
            <a:gd name="connsiteX0" fmla="*/ 2733261 w 2733261"/>
            <a:gd name="connsiteY0" fmla="*/ 1010478 h 2476096"/>
            <a:gd name="connsiteX1" fmla="*/ 2236305 w 2733261"/>
            <a:gd name="connsiteY1" fmla="*/ 1010478 h 2476096"/>
            <a:gd name="connsiteX2" fmla="*/ 2236305 w 2733261"/>
            <a:gd name="connsiteY2" fmla="*/ 0 h 2476096"/>
            <a:gd name="connsiteX3" fmla="*/ 381000 w 2733261"/>
            <a:gd name="connsiteY3" fmla="*/ 0 h 2476096"/>
            <a:gd name="connsiteX4" fmla="*/ 381000 w 2733261"/>
            <a:gd name="connsiteY4" fmla="*/ 289891 h 2476096"/>
            <a:gd name="connsiteX5" fmla="*/ 149087 w 2733261"/>
            <a:gd name="connsiteY5" fmla="*/ 521804 h 2476096"/>
            <a:gd name="connsiteX6" fmla="*/ 0 w 2733261"/>
            <a:gd name="connsiteY6" fmla="*/ 521804 h 2476096"/>
            <a:gd name="connsiteX7" fmla="*/ 0 w 2733261"/>
            <a:gd name="connsiteY7" fmla="*/ 2136913 h 2476096"/>
            <a:gd name="connsiteX8" fmla="*/ 1027044 w 2733261"/>
            <a:gd name="connsiteY8" fmla="*/ 2136913 h 2476096"/>
            <a:gd name="connsiteX9" fmla="*/ 1025049 w 2733261"/>
            <a:gd name="connsiteY9" fmla="*/ 2422411 h 2476096"/>
            <a:gd name="connsiteX10" fmla="*/ 7461 w 2733261"/>
            <a:gd name="connsiteY10" fmla="*/ 2476096 h 2476096"/>
            <a:gd name="connsiteX0" fmla="*/ 2733261 w 2733261"/>
            <a:gd name="connsiteY0" fmla="*/ 1010478 h 2482813"/>
            <a:gd name="connsiteX1" fmla="*/ 2236305 w 2733261"/>
            <a:gd name="connsiteY1" fmla="*/ 1010478 h 2482813"/>
            <a:gd name="connsiteX2" fmla="*/ 2236305 w 2733261"/>
            <a:gd name="connsiteY2" fmla="*/ 0 h 2482813"/>
            <a:gd name="connsiteX3" fmla="*/ 381000 w 2733261"/>
            <a:gd name="connsiteY3" fmla="*/ 0 h 2482813"/>
            <a:gd name="connsiteX4" fmla="*/ 381000 w 2733261"/>
            <a:gd name="connsiteY4" fmla="*/ 289891 h 2482813"/>
            <a:gd name="connsiteX5" fmla="*/ 149087 w 2733261"/>
            <a:gd name="connsiteY5" fmla="*/ 521804 h 2482813"/>
            <a:gd name="connsiteX6" fmla="*/ 0 w 2733261"/>
            <a:gd name="connsiteY6" fmla="*/ 521804 h 2482813"/>
            <a:gd name="connsiteX7" fmla="*/ 0 w 2733261"/>
            <a:gd name="connsiteY7" fmla="*/ 2136913 h 2482813"/>
            <a:gd name="connsiteX8" fmla="*/ 1027044 w 2733261"/>
            <a:gd name="connsiteY8" fmla="*/ 2136913 h 2482813"/>
            <a:gd name="connsiteX9" fmla="*/ 1029706 w 2733261"/>
            <a:gd name="connsiteY9" fmla="*/ 2482813 h 2482813"/>
            <a:gd name="connsiteX10" fmla="*/ 7461 w 2733261"/>
            <a:gd name="connsiteY10" fmla="*/ 2476096 h 2482813"/>
            <a:gd name="connsiteX0" fmla="*/ 2733261 w 2733261"/>
            <a:gd name="connsiteY0" fmla="*/ 1010478 h 2490035"/>
            <a:gd name="connsiteX1" fmla="*/ 2236305 w 2733261"/>
            <a:gd name="connsiteY1" fmla="*/ 1010478 h 2490035"/>
            <a:gd name="connsiteX2" fmla="*/ 2236305 w 2733261"/>
            <a:gd name="connsiteY2" fmla="*/ 0 h 2490035"/>
            <a:gd name="connsiteX3" fmla="*/ 381000 w 2733261"/>
            <a:gd name="connsiteY3" fmla="*/ 0 h 2490035"/>
            <a:gd name="connsiteX4" fmla="*/ 381000 w 2733261"/>
            <a:gd name="connsiteY4" fmla="*/ 289891 h 2490035"/>
            <a:gd name="connsiteX5" fmla="*/ 149087 w 2733261"/>
            <a:gd name="connsiteY5" fmla="*/ 521804 h 2490035"/>
            <a:gd name="connsiteX6" fmla="*/ 0 w 2733261"/>
            <a:gd name="connsiteY6" fmla="*/ 521804 h 2490035"/>
            <a:gd name="connsiteX7" fmla="*/ 0 w 2733261"/>
            <a:gd name="connsiteY7" fmla="*/ 2136913 h 2490035"/>
            <a:gd name="connsiteX8" fmla="*/ 1027044 w 2733261"/>
            <a:gd name="connsiteY8" fmla="*/ 2136913 h 2490035"/>
            <a:gd name="connsiteX9" fmla="*/ 1029706 w 2733261"/>
            <a:gd name="connsiteY9" fmla="*/ 2482813 h 2490035"/>
            <a:gd name="connsiteX10" fmla="*/ 2805 w 2733261"/>
            <a:gd name="connsiteY10" fmla="*/ 2490035 h 2490035"/>
            <a:gd name="connsiteX0" fmla="*/ 2733261 w 2733261"/>
            <a:gd name="connsiteY0" fmla="*/ 1010478 h 2485389"/>
            <a:gd name="connsiteX1" fmla="*/ 2236305 w 2733261"/>
            <a:gd name="connsiteY1" fmla="*/ 1010478 h 2485389"/>
            <a:gd name="connsiteX2" fmla="*/ 2236305 w 2733261"/>
            <a:gd name="connsiteY2" fmla="*/ 0 h 2485389"/>
            <a:gd name="connsiteX3" fmla="*/ 381000 w 2733261"/>
            <a:gd name="connsiteY3" fmla="*/ 0 h 2485389"/>
            <a:gd name="connsiteX4" fmla="*/ 381000 w 2733261"/>
            <a:gd name="connsiteY4" fmla="*/ 289891 h 2485389"/>
            <a:gd name="connsiteX5" fmla="*/ 149087 w 2733261"/>
            <a:gd name="connsiteY5" fmla="*/ 521804 h 2485389"/>
            <a:gd name="connsiteX6" fmla="*/ 0 w 2733261"/>
            <a:gd name="connsiteY6" fmla="*/ 521804 h 2485389"/>
            <a:gd name="connsiteX7" fmla="*/ 0 w 2733261"/>
            <a:gd name="connsiteY7" fmla="*/ 2136913 h 2485389"/>
            <a:gd name="connsiteX8" fmla="*/ 1027044 w 2733261"/>
            <a:gd name="connsiteY8" fmla="*/ 2136913 h 2485389"/>
            <a:gd name="connsiteX9" fmla="*/ 1029706 w 2733261"/>
            <a:gd name="connsiteY9" fmla="*/ 2482813 h 2485389"/>
            <a:gd name="connsiteX10" fmla="*/ 16771 w 2733261"/>
            <a:gd name="connsiteY10" fmla="*/ 2485389 h 2485389"/>
            <a:gd name="connsiteX0" fmla="*/ 2733261 w 2733261"/>
            <a:gd name="connsiteY0" fmla="*/ 1010478 h 2500132"/>
            <a:gd name="connsiteX1" fmla="*/ 2236305 w 2733261"/>
            <a:gd name="connsiteY1" fmla="*/ 1010478 h 2500132"/>
            <a:gd name="connsiteX2" fmla="*/ 2236305 w 2733261"/>
            <a:gd name="connsiteY2" fmla="*/ 0 h 2500132"/>
            <a:gd name="connsiteX3" fmla="*/ 381000 w 2733261"/>
            <a:gd name="connsiteY3" fmla="*/ 0 h 2500132"/>
            <a:gd name="connsiteX4" fmla="*/ 381000 w 2733261"/>
            <a:gd name="connsiteY4" fmla="*/ 289891 h 2500132"/>
            <a:gd name="connsiteX5" fmla="*/ 149087 w 2733261"/>
            <a:gd name="connsiteY5" fmla="*/ 521804 h 2500132"/>
            <a:gd name="connsiteX6" fmla="*/ 0 w 2733261"/>
            <a:gd name="connsiteY6" fmla="*/ 521804 h 2500132"/>
            <a:gd name="connsiteX7" fmla="*/ 0 w 2733261"/>
            <a:gd name="connsiteY7" fmla="*/ 2136913 h 2500132"/>
            <a:gd name="connsiteX8" fmla="*/ 1027044 w 2733261"/>
            <a:gd name="connsiteY8" fmla="*/ 2136913 h 2500132"/>
            <a:gd name="connsiteX9" fmla="*/ 1029706 w 2733261"/>
            <a:gd name="connsiteY9" fmla="*/ 2500132 h 2500132"/>
            <a:gd name="connsiteX10" fmla="*/ 16771 w 2733261"/>
            <a:gd name="connsiteY10" fmla="*/ 2485389 h 2500132"/>
            <a:gd name="connsiteX0" fmla="*/ 2733261 w 2733261"/>
            <a:gd name="connsiteY0" fmla="*/ 1010478 h 2500132"/>
            <a:gd name="connsiteX1" fmla="*/ 2236305 w 2733261"/>
            <a:gd name="connsiteY1" fmla="*/ 1010478 h 2500132"/>
            <a:gd name="connsiteX2" fmla="*/ 2236305 w 2733261"/>
            <a:gd name="connsiteY2" fmla="*/ 0 h 2500132"/>
            <a:gd name="connsiteX3" fmla="*/ 381000 w 2733261"/>
            <a:gd name="connsiteY3" fmla="*/ 0 h 2500132"/>
            <a:gd name="connsiteX4" fmla="*/ 381000 w 2733261"/>
            <a:gd name="connsiteY4" fmla="*/ 289891 h 2500132"/>
            <a:gd name="connsiteX5" fmla="*/ 149087 w 2733261"/>
            <a:gd name="connsiteY5" fmla="*/ 521804 h 2500132"/>
            <a:gd name="connsiteX6" fmla="*/ 0 w 2733261"/>
            <a:gd name="connsiteY6" fmla="*/ 521804 h 2500132"/>
            <a:gd name="connsiteX7" fmla="*/ 0 w 2733261"/>
            <a:gd name="connsiteY7" fmla="*/ 2136913 h 2500132"/>
            <a:gd name="connsiteX8" fmla="*/ 1027044 w 2733261"/>
            <a:gd name="connsiteY8" fmla="*/ 2136913 h 2500132"/>
            <a:gd name="connsiteX9" fmla="*/ 1029706 w 2733261"/>
            <a:gd name="connsiteY9" fmla="*/ 2500132 h 2500132"/>
            <a:gd name="connsiteX10" fmla="*/ 12436 w 2733261"/>
            <a:gd name="connsiteY10" fmla="*/ 2498378 h 25001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733261" h="2500132">
              <a:moveTo>
                <a:pt x="2733261" y="1010478"/>
              </a:moveTo>
              <a:lnTo>
                <a:pt x="2236305" y="1010478"/>
              </a:lnTo>
              <a:lnTo>
                <a:pt x="2236305" y="0"/>
              </a:lnTo>
              <a:lnTo>
                <a:pt x="381000" y="0"/>
              </a:lnTo>
              <a:lnTo>
                <a:pt x="381000" y="289891"/>
              </a:lnTo>
              <a:lnTo>
                <a:pt x="149087" y="521804"/>
              </a:lnTo>
              <a:lnTo>
                <a:pt x="0" y="521804"/>
              </a:lnTo>
              <a:lnTo>
                <a:pt x="0" y="2136913"/>
              </a:lnTo>
              <a:lnTo>
                <a:pt x="1027044" y="2136913"/>
              </a:lnTo>
              <a:cubicBezTo>
                <a:pt x="1027931" y="2252213"/>
                <a:pt x="1028819" y="2384832"/>
                <a:pt x="1029706" y="2500132"/>
              </a:cubicBezTo>
              <a:lnTo>
                <a:pt x="12436" y="2498378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173148</xdr:colOff>
      <xdr:row>9</xdr:row>
      <xdr:rowOff>1449404</xdr:rowOff>
    </xdr:from>
    <xdr:to>
      <xdr:col>5</xdr:col>
      <xdr:colOff>326120</xdr:colOff>
      <xdr:row>9</xdr:row>
      <xdr:rowOff>2700413</xdr:rowOff>
    </xdr:to>
    <xdr:sp macro="" textlink="">
      <xdr:nvSpPr>
        <xdr:cNvPr id="109" name="Полилиния 108"/>
        <xdr:cNvSpPr/>
      </xdr:nvSpPr>
      <xdr:spPr>
        <a:xfrm>
          <a:off x="3297348" y="11469704"/>
          <a:ext cx="1534097" cy="1251009"/>
        </a:xfrm>
        <a:custGeom>
          <a:avLst/>
          <a:gdLst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167848 w 1532283"/>
            <a:gd name="connsiteY4" fmla="*/ 0 h 1250674"/>
            <a:gd name="connsiteX5" fmla="*/ 1532283 w 1532283"/>
            <a:gd name="connsiteY5" fmla="*/ 0 h 1250674"/>
            <a:gd name="connsiteX6" fmla="*/ 1532283 w 1532283"/>
            <a:gd name="connsiteY6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69369 h 1269369"/>
            <a:gd name="connsiteX1" fmla="*/ 0 w 1532283"/>
            <a:gd name="connsiteY1" fmla="*/ 886239 h 1269369"/>
            <a:gd name="connsiteX2" fmla="*/ 1034162 w 1532283"/>
            <a:gd name="connsiteY2" fmla="*/ 881910 h 1269369"/>
            <a:gd name="connsiteX3" fmla="*/ 1034162 w 1532283"/>
            <a:gd name="connsiteY3" fmla="*/ 0 h 1269369"/>
            <a:gd name="connsiteX4" fmla="*/ 1532283 w 1532283"/>
            <a:gd name="connsiteY4" fmla="*/ 0 h 1269369"/>
            <a:gd name="connsiteX5" fmla="*/ 1532283 w 1532283"/>
            <a:gd name="connsiteY5" fmla="*/ 1250674 h 1269369"/>
            <a:gd name="connsiteX0" fmla="*/ 0 w 1532283"/>
            <a:gd name="connsiteY0" fmla="*/ 1236712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53041 h 1253041"/>
            <a:gd name="connsiteX1" fmla="*/ 0 w 1532283"/>
            <a:gd name="connsiteY1" fmla="*/ 886239 h 1253041"/>
            <a:gd name="connsiteX2" fmla="*/ 1034162 w 1532283"/>
            <a:gd name="connsiteY2" fmla="*/ 881910 h 1253041"/>
            <a:gd name="connsiteX3" fmla="*/ 1034162 w 1532283"/>
            <a:gd name="connsiteY3" fmla="*/ 0 h 1253041"/>
            <a:gd name="connsiteX4" fmla="*/ 1532283 w 1532283"/>
            <a:gd name="connsiteY4" fmla="*/ 0 h 1253041"/>
            <a:gd name="connsiteX5" fmla="*/ 1532283 w 1532283"/>
            <a:gd name="connsiteY5" fmla="*/ 1250674 h 1253041"/>
            <a:gd name="connsiteX0" fmla="*/ 5961 w 1532283"/>
            <a:gd name="connsiteY0" fmla="*/ 1264947 h 1264947"/>
            <a:gd name="connsiteX1" fmla="*/ 0 w 1532283"/>
            <a:gd name="connsiteY1" fmla="*/ 886239 h 1264947"/>
            <a:gd name="connsiteX2" fmla="*/ 1034162 w 1532283"/>
            <a:gd name="connsiteY2" fmla="*/ 881910 h 1264947"/>
            <a:gd name="connsiteX3" fmla="*/ 1034162 w 1532283"/>
            <a:gd name="connsiteY3" fmla="*/ 0 h 1264947"/>
            <a:gd name="connsiteX4" fmla="*/ 1532283 w 1532283"/>
            <a:gd name="connsiteY4" fmla="*/ 0 h 1264947"/>
            <a:gd name="connsiteX5" fmla="*/ 1532283 w 1532283"/>
            <a:gd name="connsiteY5" fmla="*/ 1250674 h 1264947"/>
            <a:gd name="connsiteX0" fmla="*/ 5961 w 1532283"/>
            <a:gd name="connsiteY0" fmla="*/ 1264947 h 1264947"/>
            <a:gd name="connsiteX1" fmla="*/ 0 w 1532283"/>
            <a:gd name="connsiteY1" fmla="*/ 886239 h 1264947"/>
            <a:gd name="connsiteX2" fmla="*/ 1034162 w 1532283"/>
            <a:gd name="connsiteY2" fmla="*/ 881910 h 1264947"/>
            <a:gd name="connsiteX3" fmla="*/ 1034162 w 1532283"/>
            <a:gd name="connsiteY3" fmla="*/ 0 h 1264947"/>
            <a:gd name="connsiteX4" fmla="*/ 1532283 w 1532283"/>
            <a:gd name="connsiteY4" fmla="*/ 0 h 1264947"/>
            <a:gd name="connsiteX5" fmla="*/ 1532283 w 1532283"/>
            <a:gd name="connsiteY5" fmla="*/ 1250674 h 1264947"/>
            <a:gd name="connsiteX6" fmla="*/ 5961 w 1532283"/>
            <a:gd name="connsiteY6" fmla="*/ 1264947 h 1264947"/>
            <a:gd name="connsiteX0" fmla="*/ 0 w 1535635"/>
            <a:gd name="connsiteY0" fmla="*/ 1260301 h 1260301"/>
            <a:gd name="connsiteX1" fmla="*/ 3352 w 1535635"/>
            <a:gd name="connsiteY1" fmla="*/ 886239 h 1260301"/>
            <a:gd name="connsiteX2" fmla="*/ 1037514 w 1535635"/>
            <a:gd name="connsiteY2" fmla="*/ 881910 h 1260301"/>
            <a:gd name="connsiteX3" fmla="*/ 1037514 w 1535635"/>
            <a:gd name="connsiteY3" fmla="*/ 0 h 1260301"/>
            <a:gd name="connsiteX4" fmla="*/ 1535635 w 1535635"/>
            <a:gd name="connsiteY4" fmla="*/ 0 h 1260301"/>
            <a:gd name="connsiteX5" fmla="*/ 1535635 w 1535635"/>
            <a:gd name="connsiteY5" fmla="*/ 1250674 h 1260301"/>
            <a:gd name="connsiteX6" fmla="*/ 0 w 1535635"/>
            <a:gd name="connsiteY6" fmla="*/ 1260301 h 1260301"/>
            <a:gd name="connsiteX0" fmla="*/ 1526 w 1532504"/>
            <a:gd name="connsiteY0" fmla="*/ 1251009 h 1251009"/>
            <a:gd name="connsiteX1" fmla="*/ 221 w 1532504"/>
            <a:gd name="connsiteY1" fmla="*/ 886239 h 1251009"/>
            <a:gd name="connsiteX2" fmla="*/ 1034383 w 1532504"/>
            <a:gd name="connsiteY2" fmla="*/ 881910 h 1251009"/>
            <a:gd name="connsiteX3" fmla="*/ 1034383 w 1532504"/>
            <a:gd name="connsiteY3" fmla="*/ 0 h 1251009"/>
            <a:gd name="connsiteX4" fmla="*/ 1532504 w 1532504"/>
            <a:gd name="connsiteY4" fmla="*/ 0 h 1251009"/>
            <a:gd name="connsiteX5" fmla="*/ 1532504 w 1532504"/>
            <a:gd name="connsiteY5" fmla="*/ 1250674 h 1251009"/>
            <a:gd name="connsiteX6" fmla="*/ 1526 w 1532504"/>
            <a:gd name="connsiteY6" fmla="*/ 1251009 h 12510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532504" h="1251009">
              <a:moveTo>
                <a:pt x="1526" y="1251009"/>
              </a:moveTo>
              <a:cubicBezTo>
                <a:pt x="2643" y="1126322"/>
                <a:pt x="-896" y="1010926"/>
                <a:pt x="221" y="886239"/>
              </a:cubicBezTo>
              <a:lnTo>
                <a:pt x="1034383" y="881910"/>
              </a:lnTo>
              <a:lnTo>
                <a:pt x="1034383" y="0"/>
              </a:lnTo>
              <a:lnTo>
                <a:pt x="1532504" y="0"/>
              </a:lnTo>
              <a:lnTo>
                <a:pt x="1532504" y="1250674"/>
              </a:lnTo>
              <a:lnTo>
                <a:pt x="1526" y="1251009"/>
              </a:lnTo>
              <a:close/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651346</xdr:colOff>
      <xdr:row>9</xdr:row>
      <xdr:rowOff>2043006</xdr:rowOff>
    </xdr:from>
    <xdr:to>
      <xdr:col>4</xdr:col>
      <xdr:colOff>387970</xdr:colOff>
      <xdr:row>9</xdr:row>
      <xdr:rowOff>2828238</xdr:rowOff>
    </xdr:to>
    <xdr:sp macro="" textlink="">
      <xdr:nvSpPr>
        <xdr:cNvPr id="112" name="Полилиния 111"/>
        <xdr:cNvSpPr/>
      </xdr:nvSpPr>
      <xdr:spPr>
        <a:xfrm>
          <a:off x="2194396" y="12063306"/>
          <a:ext cx="1317774" cy="785232"/>
        </a:xfrm>
        <a:custGeom>
          <a:avLst/>
          <a:gdLst>
            <a:gd name="connsiteX0" fmla="*/ 2824976 w 2824976"/>
            <a:gd name="connsiteY0" fmla="*/ 427464 h 748061"/>
            <a:gd name="connsiteX1" fmla="*/ 2824976 w 2824976"/>
            <a:gd name="connsiteY1" fmla="*/ 0 h 748061"/>
            <a:gd name="connsiteX2" fmla="*/ 1983988 w 2824976"/>
            <a:gd name="connsiteY2" fmla="*/ 0 h 748061"/>
            <a:gd name="connsiteX3" fmla="*/ 1983988 w 2824976"/>
            <a:gd name="connsiteY3" fmla="*/ 748061 h 748061"/>
            <a:gd name="connsiteX4" fmla="*/ 0 w 2824976"/>
            <a:gd name="connsiteY4" fmla="*/ 748061 h 748061"/>
            <a:gd name="connsiteX0" fmla="*/ 2824976 w 2824976"/>
            <a:gd name="connsiteY0" fmla="*/ 427464 h 752707"/>
            <a:gd name="connsiteX1" fmla="*/ 2824976 w 2824976"/>
            <a:gd name="connsiteY1" fmla="*/ 0 h 752707"/>
            <a:gd name="connsiteX2" fmla="*/ 1983988 w 2824976"/>
            <a:gd name="connsiteY2" fmla="*/ 0 h 752707"/>
            <a:gd name="connsiteX3" fmla="*/ 1054720 w 2824976"/>
            <a:gd name="connsiteY3" fmla="*/ 752707 h 752707"/>
            <a:gd name="connsiteX4" fmla="*/ 0 w 2824976"/>
            <a:gd name="connsiteY4" fmla="*/ 748061 h 752707"/>
            <a:gd name="connsiteX0" fmla="*/ 2824976 w 2824976"/>
            <a:gd name="connsiteY0" fmla="*/ 427464 h 1533293"/>
            <a:gd name="connsiteX1" fmla="*/ 2824976 w 2824976"/>
            <a:gd name="connsiteY1" fmla="*/ 0 h 1533293"/>
            <a:gd name="connsiteX2" fmla="*/ 1050074 w 2824976"/>
            <a:gd name="connsiteY2" fmla="*/ 1533293 h 1533293"/>
            <a:gd name="connsiteX3" fmla="*/ 1054720 w 2824976"/>
            <a:gd name="connsiteY3" fmla="*/ 752707 h 1533293"/>
            <a:gd name="connsiteX4" fmla="*/ 0 w 2824976"/>
            <a:gd name="connsiteY4" fmla="*/ 748061 h 1533293"/>
            <a:gd name="connsiteX0" fmla="*/ 2824976 w 2824976"/>
            <a:gd name="connsiteY0" fmla="*/ 0 h 1105829"/>
            <a:gd name="connsiteX1" fmla="*/ 1314915 w 2824976"/>
            <a:gd name="connsiteY1" fmla="*/ 1105829 h 1105829"/>
            <a:gd name="connsiteX2" fmla="*/ 1050074 w 2824976"/>
            <a:gd name="connsiteY2" fmla="*/ 1105829 h 1105829"/>
            <a:gd name="connsiteX3" fmla="*/ 1054720 w 2824976"/>
            <a:gd name="connsiteY3" fmla="*/ 325243 h 1105829"/>
            <a:gd name="connsiteX4" fmla="*/ 0 w 2824976"/>
            <a:gd name="connsiteY4" fmla="*/ 320597 h 1105829"/>
            <a:gd name="connsiteX0" fmla="*/ 1314915 w 1314915"/>
            <a:gd name="connsiteY0" fmla="*/ 785232 h 785232"/>
            <a:gd name="connsiteX1" fmla="*/ 1050074 w 1314915"/>
            <a:gd name="connsiteY1" fmla="*/ 785232 h 785232"/>
            <a:gd name="connsiteX2" fmla="*/ 1054720 w 1314915"/>
            <a:gd name="connsiteY2" fmla="*/ 4646 h 785232"/>
            <a:gd name="connsiteX3" fmla="*/ 0 w 1314915"/>
            <a:gd name="connsiteY3" fmla="*/ 0 h 78523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14915" h="785232">
              <a:moveTo>
                <a:pt x="1314915" y="785232"/>
              </a:moveTo>
              <a:lnTo>
                <a:pt x="1050074" y="785232"/>
              </a:lnTo>
              <a:cubicBezTo>
                <a:pt x="1051623" y="525037"/>
                <a:pt x="1053171" y="264841"/>
                <a:pt x="1054720" y="4646"/>
              </a:cubicBezTo>
              <a:lnTo>
                <a:pt x="0" y="0"/>
              </a:lnTo>
            </a:path>
          </a:pathLst>
        </a:custGeom>
        <a:noFill/>
        <a:ln w="317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981075</xdr:colOff>
      <xdr:row>0</xdr:row>
      <xdr:rowOff>0</xdr:rowOff>
    </xdr:from>
    <xdr:to>
      <xdr:col>0</xdr:col>
      <xdr:colOff>1895554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0"/>
          <a:ext cx="914479" cy="49686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914400</xdr:colOff>
      <xdr:row>0</xdr:row>
      <xdr:rowOff>0</xdr:rowOff>
    </xdr:from>
    <xdr:to>
      <xdr:col>0</xdr:col>
      <xdr:colOff>1828879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0"/>
          <a:ext cx="914479" cy="49686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857250</xdr:colOff>
      <xdr:row>0</xdr:row>
      <xdr:rowOff>0</xdr:rowOff>
    </xdr:from>
    <xdr:to>
      <xdr:col>0</xdr:col>
      <xdr:colOff>1771729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0"/>
          <a:ext cx="914479" cy="49686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1350255</xdr:colOff>
      <xdr:row>3</xdr:row>
      <xdr:rowOff>23458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0"/>
          <a:ext cx="1216905" cy="680683"/>
        </a:xfrm>
        <a:prstGeom prst="rect">
          <a:avLst/>
        </a:prstGeom>
      </xdr:spPr>
    </xdr:pic>
    <xdr:clientData/>
  </xdr:twoCellAnchor>
  <xdr:twoCellAnchor>
    <xdr:from>
      <xdr:col>0</xdr:col>
      <xdr:colOff>712932</xdr:colOff>
      <xdr:row>4</xdr:row>
      <xdr:rowOff>96612</xdr:rowOff>
    </xdr:from>
    <xdr:to>
      <xdr:col>0</xdr:col>
      <xdr:colOff>712932</xdr:colOff>
      <xdr:row>4</xdr:row>
      <xdr:rowOff>1421183</xdr:rowOff>
    </xdr:to>
    <xdr:cxnSp macro="">
      <xdr:nvCxnSpPr>
        <xdr:cNvPr id="158" name="Прямая со стрелкой 15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712932" y="749755"/>
          <a:ext cx="0" cy="1324571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670699</xdr:colOff>
      <xdr:row>4</xdr:row>
      <xdr:rowOff>1391420</xdr:rowOff>
    </xdr:from>
    <xdr:to>
      <xdr:col>0</xdr:col>
      <xdr:colOff>742699</xdr:colOff>
      <xdr:row>4</xdr:row>
      <xdr:rowOff>1463420</xdr:rowOff>
    </xdr:to>
    <xdr:sp macro="" textlink="">
      <xdr:nvSpPr>
        <xdr:cNvPr id="159" name="Овал 158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670699" y="204456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716323</xdr:colOff>
      <xdr:row>4</xdr:row>
      <xdr:rowOff>139529</xdr:rowOff>
    </xdr:from>
    <xdr:to>
      <xdr:col>0</xdr:col>
      <xdr:colOff>940133</xdr:colOff>
      <xdr:row>4</xdr:row>
      <xdr:rowOff>1007122</xdr:rowOff>
    </xdr:to>
    <xdr:cxnSp macro="">
      <xdr:nvCxnSpPr>
        <xdr:cNvPr id="160" name="Прямая со стрелкой 159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V="1">
          <a:off x="716323" y="792672"/>
          <a:ext cx="223810" cy="867593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499202</xdr:colOff>
      <xdr:row>4</xdr:row>
      <xdr:rowOff>192081</xdr:rowOff>
    </xdr:from>
    <xdr:to>
      <xdr:col>0</xdr:col>
      <xdr:colOff>713885</xdr:colOff>
      <xdr:row>4</xdr:row>
      <xdr:rowOff>1013657</xdr:rowOff>
    </xdr:to>
    <xdr:cxnSp macro="">
      <xdr:nvCxnSpPr>
        <xdr:cNvPr id="161" name="Прямая со стрелкой 160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H="1" flipV="1">
          <a:off x="499202" y="845224"/>
          <a:ext cx="214683" cy="821576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812767</xdr:colOff>
      <xdr:row>4</xdr:row>
      <xdr:rowOff>1015101</xdr:rowOff>
    </xdr:from>
    <xdr:to>
      <xdr:col>1</xdr:col>
      <xdr:colOff>812985</xdr:colOff>
      <xdr:row>4</xdr:row>
      <xdr:rowOff>1383376</xdr:rowOff>
    </xdr:to>
    <xdr:cxnSp macro="">
      <xdr:nvCxnSpPr>
        <xdr:cNvPr id="162" name="Прямая со стрелкой 16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>
          <a:stCxn id="164" idx="0"/>
        </xdr:cNvCxnSpPr>
      </xdr:nvCxnSpPr>
      <xdr:spPr>
        <a:xfrm>
          <a:off x="2255124" y="1668244"/>
          <a:ext cx="218" cy="36827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777321</xdr:colOff>
      <xdr:row>4</xdr:row>
      <xdr:rowOff>1366262</xdr:rowOff>
    </xdr:from>
    <xdr:to>
      <xdr:col>1</xdr:col>
      <xdr:colOff>849321</xdr:colOff>
      <xdr:row>4</xdr:row>
      <xdr:rowOff>1438262</xdr:rowOff>
    </xdr:to>
    <xdr:sp macro="" textlink="">
      <xdr:nvSpPr>
        <xdr:cNvPr id="163" name="Овал 16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19678" y="201940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289834</xdr:colOff>
      <xdr:row>4</xdr:row>
      <xdr:rowOff>523962</xdr:rowOff>
    </xdr:from>
    <xdr:to>
      <xdr:col>1</xdr:col>
      <xdr:colOff>812767</xdr:colOff>
      <xdr:row>4</xdr:row>
      <xdr:rowOff>1015101</xdr:rowOff>
    </xdr:to>
    <xdr:sp macro="" textlink="">
      <xdr:nvSpPr>
        <xdr:cNvPr id="164" name="Полилиния 163"/>
        <xdr:cNvSpPr/>
      </xdr:nvSpPr>
      <xdr:spPr>
        <a:xfrm>
          <a:off x="1732191" y="1177105"/>
          <a:ext cx="522933" cy="491139"/>
        </a:xfrm>
        <a:custGeom>
          <a:avLst/>
          <a:gdLst>
            <a:gd name="connsiteX0" fmla="*/ 520212 w 520212"/>
            <a:gd name="connsiteY0" fmla="*/ 491139 h 491139"/>
            <a:gd name="connsiteX1" fmla="*/ 461596 w 520212"/>
            <a:gd name="connsiteY1" fmla="*/ 256677 h 491139"/>
            <a:gd name="connsiteX2" fmla="*/ 263769 w 520212"/>
            <a:gd name="connsiteY2" fmla="*/ 95485 h 491139"/>
            <a:gd name="connsiteX3" fmla="*/ 73269 w 520212"/>
            <a:gd name="connsiteY3" fmla="*/ 14889 h 491139"/>
            <a:gd name="connsiteX4" fmla="*/ 0 w 520212"/>
            <a:gd name="connsiteY4" fmla="*/ 235 h 4911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20212" h="491139">
              <a:moveTo>
                <a:pt x="520212" y="491139"/>
              </a:moveTo>
              <a:cubicBezTo>
                <a:pt x="512274" y="406879"/>
                <a:pt x="504336" y="322619"/>
                <a:pt x="461596" y="256677"/>
              </a:cubicBezTo>
              <a:cubicBezTo>
                <a:pt x="418855" y="190735"/>
                <a:pt x="328490" y="135783"/>
                <a:pt x="263769" y="95485"/>
              </a:cubicBezTo>
              <a:cubicBezTo>
                <a:pt x="199048" y="55187"/>
                <a:pt x="117230" y="30764"/>
                <a:pt x="73269" y="14889"/>
              </a:cubicBezTo>
              <a:cubicBezTo>
                <a:pt x="29307" y="-986"/>
                <a:pt x="14653" y="-376"/>
                <a:pt x="0" y="235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752612</xdr:colOff>
      <xdr:row>6</xdr:row>
      <xdr:rowOff>671239</xdr:rowOff>
    </xdr:from>
    <xdr:to>
      <xdr:col>0</xdr:col>
      <xdr:colOff>752612</xdr:colOff>
      <xdr:row>6</xdr:row>
      <xdr:rowOff>1396228</xdr:rowOff>
    </xdr:to>
    <xdr:cxnSp macro="">
      <xdr:nvCxnSpPr>
        <xdr:cNvPr id="165" name="Прямая со стрелкой 16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752612" y="4372382"/>
          <a:ext cx="0" cy="724989"/>
        </a:xfrm>
        <a:prstGeom prst="straightConnector1">
          <a:avLst/>
        </a:prstGeom>
        <a:ln w="1905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711619</xdr:colOff>
      <xdr:row>6</xdr:row>
      <xdr:rowOff>1378532</xdr:rowOff>
    </xdr:from>
    <xdr:to>
      <xdr:col>0</xdr:col>
      <xdr:colOff>783619</xdr:colOff>
      <xdr:row>6</xdr:row>
      <xdr:rowOff>1450532</xdr:rowOff>
    </xdr:to>
    <xdr:sp macro="" textlink="">
      <xdr:nvSpPr>
        <xdr:cNvPr id="166" name="Овал 16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711619" y="5079675"/>
          <a:ext cx="72000" cy="72000"/>
        </a:xfrm>
        <a:prstGeom prst="ellipse">
          <a:avLst/>
        </a:prstGeom>
        <a:solidFill>
          <a:schemeClr val="tx1"/>
        </a:solidFill>
        <a:ln w="19050">
          <a:headEnd type="triangle"/>
          <a:tailEnd type="none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493103</xdr:colOff>
      <xdr:row>6</xdr:row>
      <xdr:rowOff>71164</xdr:rowOff>
    </xdr:from>
    <xdr:to>
      <xdr:col>0</xdr:col>
      <xdr:colOff>953026</xdr:colOff>
      <xdr:row>6</xdr:row>
      <xdr:rowOff>1452289</xdr:rowOff>
    </xdr:to>
    <xdr:cxnSp macro="">
      <xdr:nvCxnSpPr>
        <xdr:cNvPr id="167" name="Прямая со стрелкой 16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493103" y="3772307"/>
          <a:ext cx="459923" cy="1381125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680122</xdr:colOff>
      <xdr:row>4</xdr:row>
      <xdr:rowOff>114527</xdr:rowOff>
    </xdr:from>
    <xdr:to>
      <xdr:col>1</xdr:col>
      <xdr:colOff>804484</xdr:colOff>
      <xdr:row>4</xdr:row>
      <xdr:rowOff>973686</xdr:rowOff>
    </xdr:to>
    <xdr:cxnSp macro="">
      <xdr:nvCxnSpPr>
        <xdr:cNvPr id="168" name="Прямая со стрелкой 16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122479" y="767670"/>
          <a:ext cx="124362" cy="859159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736902</xdr:colOff>
      <xdr:row>4</xdr:row>
      <xdr:rowOff>57557</xdr:rowOff>
    </xdr:from>
    <xdr:to>
      <xdr:col>2</xdr:col>
      <xdr:colOff>736902</xdr:colOff>
      <xdr:row>4</xdr:row>
      <xdr:rowOff>1382129</xdr:rowOff>
    </xdr:to>
    <xdr:cxnSp macro="">
      <xdr:nvCxnSpPr>
        <xdr:cNvPr id="169" name="Прямая со стрелкой 16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3621616" y="710700"/>
          <a:ext cx="0" cy="132457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694669</xdr:colOff>
      <xdr:row>4</xdr:row>
      <xdr:rowOff>1352366</xdr:rowOff>
    </xdr:from>
    <xdr:to>
      <xdr:col>2</xdr:col>
      <xdr:colOff>766669</xdr:colOff>
      <xdr:row>4</xdr:row>
      <xdr:rowOff>1424366</xdr:rowOff>
    </xdr:to>
    <xdr:sp macro="" textlink="">
      <xdr:nvSpPr>
        <xdr:cNvPr id="170" name="Овал 16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3579383" y="200550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733180</xdr:colOff>
      <xdr:row>4</xdr:row>
      <xdr:rowOff>217994</xdr:rowOff>
    </xdr:from>
    <xdr:to>
      <xdr:col>2</xdr:col>
      <xdr:colOff>1006506</xdr:colOff>
      <xdr:row>4</xdr:row>
      <xdr:rowOff>963429</xdr:rowOff>
    </xdr:to>
    <xdr:sp macro="" textlink="">
      <xdr:nvSpPr>
        <xdr:cNvPr id="171" name="Полилиния 170"/>
        <xdr:cNvSpPr/>
      </xdr:nvSpPr>
      <xdr:spPr>
        <a:xfrm>
          <a:off x="3617894" y="871137"/>
          <a:ext cx="273326" cy="745435"/>
        </a:xfrm>
        <a:custGeom>
          <a:avLst/>
          <a:gdLst>
            <a:gd name="connsiteX0" fmla="*/ 0 w 273326"/>
            <a:gd name="connsiteY0" fmla="*/ 745435 h 745435"/>
            <a:gd name="connsiteX1" fmla="*/ 91108 w 273326"/>
            <a:gd name="connsiteY1" fmla="*/ 298174 h 745435"/>
            <a:gd name="connsiteX2" fmla="*/ 273326 w 273326"/>
            <a:gd name="connsiteY2" fmla="*/ 0 h 7454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3326" h="745435">
              <a:moveTo>
                <a:pt x="0" y="745435"/>
              </a:moveTo>
              <a:cubicBezTo>
                <a:pt x="22777" y="583924"/>
                <a:pt x="45554" y="422413"/>
                <a:pt x="91108" y="298174"/>
              </a:cubicBezTo>
              <a:cubicBezTo>
                <a:pt x="136662" y="173935"/>
                <a:pt x="204994" y="86967"/>
                <a:pt x="273326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460447</xdr:colOff>
      <xdr:row>4</xdr:row>
      <xdr:rowOff>204742</xdr:rowOff>
    </xdr:from>
    <xdr:to>
      <xdr:col>2</xdr:col>
      <xdr:colOff>736494</xdr:colOff>
      <xdr:row>4</xdr:row>
      <xdr:rowOff>950177</xdr:rowOff>
    </xdr:to>
    <xdr:sp macro="" textlink="">
      <xdr:nvSpPr>
        <xdr:cNvPr id="172" name="Полилиния 171"/>
        <xdr:cNvSpPr/>
      </xdr:nvSpPr>
      <xdr:spPr>
        <a:xfrm flipH="1">
          <a:off x="3345161" y="857885"/>
          <a:ext cx="276047" cy="745435"/>
        </a:xfrm>
        <a:custGeom>
          <a:avLst/>
          <a:gdLst>
            <a:gd name="connsiteX0" fmla="*/ 0 w 273326"/>
            <a:gd name="connsiteY0" fmla="*/ 745435 h 745435"/>
            <a:gd name="connsiteX1" fmla="*/ 91108 w 273326"/>
            <a:gd name="connsiteY1" fmla="*/ 298174 h 745435"/>
            <a:gd name="connsiteX2" fmla="*/ 273326 w 273326"/>
            <a:gd name="connsiteY2" fmla="*/ 0 h 74543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3326" h="745435">
              <a:moveTo>
                <a:pt x="0" y="745435"/>
              </a:moveTo>
              <a:cubicBezTo>
                <a:pt x="22777" y="583924"/>
                <a:pt x="45554" y="422413"/>
                <a:pt x="91108" y="298174"/>
              </a:cubicBezTo>
              <a:cubicBezTo>
                <a:pt x="136662" y="173935"/>
                <a:pt x="204994" y="86967"/>
                <a:pt x="27332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720147</xdr:colOff>
      <xdr:row>4</xdr:row>
      <xdr:rowOff>1333282</xdr:rowOff>
    </xdr:from>
    <xdr:to>
      <xdr:col>3</xdr:col>
      <xdr:colOff>792147</xdr:colOff>
      <xdr:row>4</xdr:row>
      <xdr:rowOff>1405282</xdr:rowOff>
    </xdr:to>
    <xdr:sp macro="" textlink="">
      <xdr:nvSpPr>
        <xdr:cNvPr id="173" name="Овал 17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5047218" y="198642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755019</xdr:colOff>
      <xdr:row>4</xdr:row>
      <xdr:rowOff>250496</xdr:rowOff>
    </xdr:from>
    <xdr:to>
      <xdr:col>3</xdr:col>
      <xdr:colOff>952938</xdr:colOff>
      <xdr:row>4</xdr:row>
      <xdr:rowOff>1388708</xdr:rowOff>
    </xdr:to>
    <xdr:sp macro="" textlink="">
      <xdr:nvSpPr>
        <xdr:cNvPr id="174" name="Полилиния 173"/>
        <xdr:cNvSpPr/>
      </xdr:nvSpPr>
      <xdr:spPr>
        <a:xfrm>
          <a:off x="5082090" y="903639"/>
          <a:ext cx="197919" cy="1138212"/>
        </a:xfrm>
        <a:custGeom>
          <a:avLst/>
          <a:gdLst>
            <a:gd name="connsiteX0" fmla="*/ 0 w 240196"/>
            <a:gd name="connsiteY0" fmla="*/ 1192696 h 1196056"/>
            <a:gd name="connsiteX1" fmla="*/ 16565 w 240196"/>
            <a:gd name="connsiteY1" fmla="*/ 1126435 h 1196056"/>
            <a:gd name="connsiteX2" fmla="*/ 49696 w 240196"/>
            <a:gd name="connsiteY2" fmla="*/ 720587 h 1196056"/>
            <a:gd name="connsiteX3" fmla="*/ 149087 w 240196"/>
            <a:gd name="connsiteY3" fmla="*/ 265044 h 1196056"/>
            <a:gd name="connsiteX4" fmla="*/ 240196 w 240196"/>
            <a:gd name="connsiteY4" fmla="*/ 0 h 1196056"/>
            <a:gd name="connsiteX0" fmla="*/ 0 w 223631"/>
            <a:gd name="connsiteY0" fmla="*/ 1126435 h 1126435"/>
            <a:gd name="connsiteX1" fmla="*/ 33131 w 223631"/>
            <a:gd name="connsiteY1" fmla="*/ 720587 h 1126435"/>
            <a:gd name="connsiteX2" fmla="*/ 132522 w 223631"/>
            <a:gd name="connsiteY2" fmla="*/ 265044 h 1126435"/>
            <a:gd name="connsiteX3" fmla="*/ 223631 w 223631"/>
            <a:gd name="connsiteY3" fmla="*/ 0 h 1126435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8127 w 198914"/>
            <a:gd name="connsiteY0" fmla="*/ 1139573 h 1139573"/>
            <a:gd name="connsiteX1" fmla="*/ 8414 w 198914"/>
            <a:gd name="connsiteY1" fmla="*/ 720587 h 1139573"/>
            <a:gd name="connsiteX2" fmla="*/ 107805 w 198914"/>
            <a:gd name="connsiteY2" fmla="*/ 265044 h 1139573"/>
            <a:gd name="connsiteX3" fmla="*/ 198914 w 198914"/>
            <a:gd name="connsiteY3" fmla="*/ 0 h 1139573"/>
            <a:gd name="connsiteX0" fmla="*/ 7132 w 197919"/>
            <a:gd name="connsiteY0" fmla="*/ 1139573 h 1139573"/>
            <a:gd name="connsiteX1" fmla="*/ 7419 w 197919"/>
            <a:gd name="connsiteY1" fmla="*/ 720587 h 1139573"/>
            <a:gd name="connsiteX2" fmla="*/ 106810 w 197919"/>
            <a:gd name="connsiteY2" fmla="*/ 265044 h 1139573"/>
            <a:gd name="connsiteX3" fmla="*/ 197919 w 197919"/>
            <a:gd name="connsiteY3" fmla="*/ 0 h 1139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919" h="1139573">
              <a:moveTo>
                <a:pt x="7132" y="1139573"/>
              </a:moveTo>
              <a:cubicBezTo>
                <a:pt x="7309" y="1012809"/>
                <a:pt x="-9194" y="866342"/>
                <a:pt x="7419" y="720587"/>
              </a:cubicBezTo>
              <a:cubicBezTo>
                <a:pt x="24032" y="574832"/>
                <a:pt x="75060" y="385142"/>
                <a:pt x="106810" y="265044"/>
              </a:cubicBezTo>
              <a:cubicBezTo>
                <a:pt x="138560" y="144946"/>
                <a:pt x="168239" y="72473"/>
                <a:pt x="197919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457314</xdr:colOff>
      <xdr:row>4</xdr:row>
      <xdr:rowOff>222655</xdr:rowOff>
    </xdr:from>
    <xdr:to>
      <xdr:col>3</xdr:col>
      <xdr:colOff>762085</xdr:colOff>
      <xdr:row>4</xdr:row>
      <xdr:rowOff>1028936</xdr:rowOff>
    </xdr:to>
    <xdr:sp macro="" textlink="">
      <xdr:nvSpPr>
        <xdr:cNvPr id="175" name="Полилиния 174"/>
        <xdr:cNvSpPr/>
      </xdr:nvSpPr>
      <xdr:spPr>
        <a:xfrm>
          <a:off x="4784385" y="875798"/>
          <a:ext cx="304771" cy="806281"/>
        </a:xfrm>
        <a:custGeom>
          <a:avLst/>
          <a:gdLst>
            <a:gd name="connsiteX0" fmla="*/ 289891 w 295486"/>
            <a:gd name="connsiteY0" fmla="*/ 811696 h 811696"/>
            <a:gd name="connsiteX1" fmla="*/ 256761 w 295486"/>
            <a:gd name="connsiteY1" fmla="*/ 563218 h 811696"/>
            <a:gd name="connsiteX2" fmla="*/ 0 w 295486"/>
            <a:gd name="connsiteY2" fmla="*/ 0 h 811696"/>
            <a:gd name="connsiteX0" fmla="*/ 302050 w 305256"/>
            <a:gd name="connsiteY0" fmla="*/ 807642 h 807642"/>
            <a:gd name="connsiteX1" fmla="*/ 256761 w 305256"/>
            <a:gd name="connsiteY1" fmla="*/ 563218 h 807642"/>
            <a:gd name="connsiteX2" fmla="*/ 0 w 305256"/>
            <a:gd name="connsiteY2" fmla="*/ 0 h 807642"/>
            <a:gd name="connsiteX0" fmla="*/ 302050 w 302050"/>
            <a:gd name="connsiteY0" fmla="*/ 807642 h 807642"/>
            <a:gd name="connsiteX1" fmla="*/ 256761 w 302050"/>
            <a:gd name="connsiteY1" fmla="*/ 563218 h 807642"/>
            <a:gd name="connsiteX2" fmla="*/ 0 w 302050"/>
            <a:gd name="connsiteY2" fmla="*/ 0 h 807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050" h="807642">
              <a:moveTo>
                <a:pt x="302050" y="807642"/>
              </a:moveTo>
              <a:cubicBezTo>
                <a:pt x="293429" y="746990"/>
                <a:pt x="307103" y="697825"/>
                <a:pt x="256761" y="563218"/>
              </a:cubicBezTo>
              <a:cubicBezTo>
                <a:pt x="206419" y="428611"/>
                <a:pt x="46935" y="9387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692932</xdr:colOff>
      <xdr:row>5</xdr:row>
      <xdr:rowOff>1335632</xdr:rowOff>
    </xdr:from>
    <xdr:to>
      <xdr:col>0</xdr:col>
      <xdr:colOff>764932</xdr:colOff>
      <xdr:row>5</xdr:row>
      <xdr:rowOff>1407632</xdr:rowOff>
    </xdr:to>
    <xdr:sp macro="" textlink="">
      <xdr:nvSpPr>
        <xdr:cNvPr id="176" name="Овал 17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692932" y="351277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727804</xdr:colOff>
      <xdr:row>5</xdr:row>
      <xdr:rowOff>252846</xdr:rowOff>
    </xdr:from>
    <xdr:to>
      <xdr:col>0</xdr:col>
      <xdr:colOff>925723</xdr:colOff>
      <xdr:row>5</xdr:row>
      <xdr:rowOff>1391058</xdr:rowOff>
    </xdr:to>
    <xdr:sp macro="" textlink="">
      <xdr:nvSpPr>
        <xdr:cNvPr id="177" name="Полилиния 176"/>
        <xdr:cNvSpPr/>
      </xdr:nvSpPr>
      <xdr:spPr>
        <a:xfrm>
          <a:off x="727804" y="2429989"/>
          <a:ext cx="197919" cy="1138212"/>
        </a:xfrm>
        <a:custGeom>
          <a:avLst/>
          <a:gdLst>
            <a:gd name="connsiteX0" fmla="*/ 0 w 240196"/>
            <a:gd name="connsiteY0" fmla="*/ 1192696 h 1196056"/>
            <a:gd name="connsiteX1" fmla="*/ 16565 w 240196"/>
            <a:gd name="connsiteY1" fmla="*/ 1126435 h 1196056"/>
            <a:gd name="connsiteX2" fmla="*/ 49696 w 240196"/>
            <a:gd name="connsiteY2" fmla="*/ 720587 h 1196056"/>
            <a:gd name="connsiteX3" fmla="*/ 149087 w 240196"/>
            <a:gd name="connsiteY3" fmla="*/ 265044 h 1196056"/>
            <a:gd name="connsiteX4" fmla="*/ 240196 w 240196"/>
            <a:gd name="connsiteY4" fmla="*/ 0 h 1196056"/>
            <a:gd name="connsiteX0" fmla="*/ 0 w 223631"/>
            <a:gd name="connsiteY0" fmla="*/ 1126435 h 1126435"/>
            <a:gd name="connsiteX1" fmla="*/ 33131 w 223631"/>
            <a:gd name="connsiteY1" fmla="*/ 720587 h 1126435"/>
            <a:gd name="connsiteX2" fmla="*/ 132522 w 223631"/>
            <a:gd name="connsiteY2" fmla="*/ 265044 h 1126435"/>
            <a:gd name="connsiteX3" fmla="*/ 223631 w 223631"/>
            <a:gd name="connsiteY3" fmla="*/ 0 h 1126435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8127 w 198914"/>
            <a:gd name="connsiteY0" fmla="*/ 1139573 h 1139573"/>
            <a:gd name="connsiteX1" fmla="*/ 8414 w 198914"/>
            <a:gd name="connsiteY1" fmla="*/ 720587 h 1139573"/>
            <a:gd name="connsiteX2" fmla="*/ 107805 w 198914"/>
            <a:gd name="connsiteY2" fmla="*/ 265044 h 1139573"/>
            <a:gd name="connsiteX3" fmla="*/ 198914 w 198914"/>
            <a:gd name="connsiteY3" fmla="*/ 0 h 1139573"/>
            <a:gd name="connsiteX0" fmla="*/ 7132 w 197919"/>
            <a:gd name="connsiteY0" fmla="*/ 1139573 h 1139573"/>
            <a:gd name="connsiteX1" fmla="*/ 7419 w 197919"/>
            <a:gd name="connsiteY1" fmla="*/ 720587 h 1139573"/>
            <a:gd name="connsiteX2" fmla="*/ 106810 w 197919"/>
            <a:gd name="connsiteY2" fmla="*/ 265044 h 1139573"/>
            <a:gd name="connsiteX3" fmla="*/ 197919 w 197919"/>
            <a:gd name="connsiteY3" fmla="*/ 0 h 1139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919" h="1139573">
              <a:moveTo>
                <a:pt x="7132" y="1139573"/>
              </a:moveTo>
              <a:cubicBezTo>
                <a:pt x="7309" y="1012809"/>
                <a:pt x="-9194" y="866342"/>
                <a:pt x="7419" y="720587"/>
              </a:cubicBezTo>
              <a:cubicBezTo>
                <a:pt x="24032" y="574832"/>
                <a:pt x="75060" y="385142"/>
                <a:pt x="106810" y="265044"/>
              </a:cubicBezTo>
              <a:cubicBezTo>
                <a:pt x="138560" y="144946"/>
                <a:pt x="168239" y="72473"/>
                <a:pt x="197919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430099</xdr:colOff>
      <xdr:row>5</xdr:row>
      <xdr:rowOff>225005</xdr:rowOff>
    </xdr:from>
    <xdr:to>
      <xdr:col>0</xdr:col>
      <xdr:colOff>734870</xdr:colOff>
      <xdr:row>5</xdr:row>
      <xdr:rowOff>1031286</xdr:rowOff>
    </xdr:to>
    <xdr:sp macro="" textlink="">
      <xdr:nvSpPr>
        <xdr:cNvPr id="178" name="Полилиния 177"/>
        <xdr:cNvSpPr/>
      </xdr:nvSpPr>
      <xdr:spPr>
        <a:xfrm>
          <a:off x="430099" y="2402148"/>
          <a:ext cx="304771" cy="806281"/>
        </a:xfrm>
        <a:custGeom>
          <a:avLst/>
          <a:gdLst>
            <a:gd name="connsiteX0" fmla="*/ 289891 w 295486"/>
            <a:gd name="connsiteY0" fmla="*/ 811696 h 811696"/>
            <a:gd name="connsiteX1" fmla="*/ 256761 w 295486"/>
            <a:gd name="connsiteY1" fmla="*/ 563218 h 811696"/>
            <a:gd name="connsiteX2" fmla="*/ 0 w 295486"/>
            <a:gd name="connsiteY2" fmla="*/ 0 h 811696"/>
            <a:gd name="connsiteX0" fmla="*/ 302050 w 305256"/>
            <a:gd name="connsiteY0" fmla="*/ 807642 h 807642"/>
            <a:gd name="connsiteX1" fmla="*/ 256761 w 305256"/>
            <a:gd name="connsiteY1" fmla="*/ 563218 h 807642"/>
            <a:gd name="connsiteX2" fmla="*/ 0 w 305256"/>
            <a:gd name="connsiteY2" fmla="*/ 0 h 807642"/>
            <a:gd name="connsiteX0" fmla="*/ 302050 w 302050"/>
            <a:gd name="connsiteY0" fmla="*/ 807642 h 807642"/>
            <a:gd name="connsiteX1" fmla="*/ 256761 w 302050"/>
            <a:gd name="connsiteY1" fmla="*/ 563218 h 807642"/>
            <a:gd name="connsiteX2" fmla="*/ 0 w 302050"/>
            <a:gd name="connsiteY2" fmla="*/ 0 h 807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050" h="807642">
              <a:moveTo>
                <a:pt x="302050" y="807642"/>
              </a:moveTo>
              <a:cubicBezTo>
                <a:pt x="293429" y="746990"/>
                <a:pt x="307103" y="697825"/>
                <a:pt x="256761" y="563218"/>
              </a:cubicBezTo>
              <a:cubicBezTo>
                <a:pt x="206419" y="428611"/>
                <a:pt x="46935" y="9387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723858</xdr:colOff>
      <xdr:row>5</xdr:row>
      <xdr:rowOff>1335386</xdr:rowOff>
    </xdr:from>
    <xdr:to>
      <xdr:col>2</xdr:col>
      <xdr:colOff>795858</xdr:colOff>
      <xdr:row>5</xdr:row>
      <xdr:rowOff>1407386</xdr:rowOff>
    </xdr:to>
    <xdr:sp macro="" textlink="">
      <xdr:nvSpPr>
        <xdr:cNvPr id="179" name="Овал 178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3608572" y="351252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758730</xdr:colOff>
      <xdr:row>5</xdr:row>
      <xdr:rowOff>251239</xdr:rowOff>
    </xdr:from>
    <xdr:to>
      <xdr:col>2</xdr:col>
      <xdr:colOff>956649</xdr:colOff>
      <xdr:row>5</xdr:row>
      <xdr:rowOff>1390812</xdr:rowOff>
    </xdr:to>
    <xdr:sp macro="" textlink="">
      <xdr:nvSpPr>
        <xdr:cNvPr id="180" name="Полилиния 179"/>
        <xdr:cNvSpPr/>
      </xdr:nvSpPr>
      <xdr:spPr>
        <a:xfrm>
          <a:off x="3643444" y="2428382"/>
          <a:ext cx="197919" cy="1139573"/>
        </a:xfrm>
        <a:custGeom>
          <a:avLst/>
          <a:gdLst>
            <a:gd name="connsiteX0" fmla="*/ 0 w 240196"/>
            <a:gd name="connsiteY0" fmla="*/ 1192696 h 1196056"/>
            <a:gd name="connsiteX1" fmla="*/ 16565 w 240196"/>
            <a:gd name="connsiteY1" fmla="*/ 1126435 h 1196056"/>
            <a:gd name="connsiteX2" fmla="*/ 49696 w 240196"/>
            <a:gd name="connsiteY2" fmla="*/ 720587 h 1196056"/>
            <a:gd name="connsiteX3" fmla="*/ 149087 w 240196"/>
            <a:gd name="connsiteY3" fmla="*/ 265044 h 1196056"/>
            <a:gd name="connsiteX4" fmla="*/ 240196 w 240196"/>
            <a:gd name="connsiteY4" fmla="*/ 0 h 1196056"/>
            <a:gd name="connsiteX0" fmla="*/ 0 w 223631"/>
            <a:gd name="connsiteY0" fmla="*/ 1126435 h 1126435"/>
            <a:gd name="connsiteX1" fmla="*/ 33131 w 223631"/>
            <a:gd name="connsiteY1" fmla="*/ 720587 h 1126435"/>
            <a:gd name="connsiteX2" fmla="*/ 132522 w 223631"/>
            <a:gd name="connsiteY2" fmla="*/ 265044 h 1126435"/>
            <a:gd name="connsiteX3" fmla="*/ 223631 w 223631"/>
            <a:gd name="connsiteY3" fmla="*/ 0 h 1126435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8127 w 198914"/>
            <a:gd name="connsiteY0" fmla="*/ 1139573 h 1139573"/>
            <a:gd name="connsiteX1" fmla="*/ 8414 w 198914"/>
            <a:gd name="connsiteY1" fmla="*/ 720587 h 1139573"/>
            <a:gd name="connsiteX2" fmla="*/ 107805 w 198914"/>
            <a:gd name="connsiteY2" fmla="*/ 265044 h 1139573"/>
            <a:gd name="connsiteX3" fmla="*/ 198914 w 198914"/>
            <a:gd name="connsiteY3" fmla="*/ 0 h 1139573"/>
            <a:gd name="connsiteX0" fmla="*/ 7132 w 197919"/>
            <a:gd name="connsiteY0" fmla="*/ 1139573 h 1139573"/>
            <a:gd name="connsiteX1" fmla="*/ 7419 w 197919"/>
            <a:gd name="connsiteY1" fmla="*/ 720587 h 1139573"/>
            <a:gd name="connsiteX2" fmla="*/ 106810 w 197919"/>
            <a:gd name="connsiteY2" fmla="*/ 265044 h 1139573"/>
            <a:gd name="connsiteX3" fmla="*/ 197919 w 197919"/>
            <a:gd name="connsiteY3" fmla="*/ 0 h 1139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919" h="1139573">
              <a:moveTo>
                <a:pt x="7132" y="1139573"/>
              </a:moveTo>
              <a:cubicBezTo>
                <a:pt x="7309" y="1012809"/>
                <a:pt x="-9194" y="866342"/>
                <a:pt x="7419" y="720587"/>
              </a:cubicBezTo>
              <a:cubicBezTo>
                <a:pt x="24032" y="574832"/>
                <a:pt x="75060" y="385142"/>
                <a:pt x="106810" y="265044"/>
              </a:cubicBezTo>
              <a:cubicBezTo>
                <a:pt x="138560" y="144946"/>
                <a:pt x="168239" y="72473"/>
                <a:pt x="197919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461025</xdr:colOff>
      <xdr:row>5</xdr:row>
      <xdr:rowOff>223398</xdr:rowOff>
    </xdr:from>
    <xdr:to>
      <xdr:col>2</xdr:col>
      <xdr:colOff>765796</xdr:colOff>
      <xdr:row>5</xdr:row>
      <xdr:rowOff>1031040</xdr:rowOff>
    </xdr:to>
    <xdr:sp macro="" textlink="">
      <xdr:nvSpPr>
        <xdr:cNvPr id="181" name="Полилиния 180"/>
        <xdr:cNvSpPr/>
      </xdr:nvSpPr>
      <xdr:spPr>
        <a:xfrm>
          <a:off x="3345739" y="2400541"/>
          <a:ext cx="304771" cy="807642"/>
        </a:xfrm>
        <a:custGeom>
          <a:avLst/>
          <a:gdLst>
            <a:gd name="connsiteX0" fmla="*/ 289891 w 295486"/>
            <a:gd name="connsiteY0" fmla="*/ 811696 h 811696"/>
            <a:gd name="connsiteX1" fmla="*/ 256761 w 295486"/>
            <a:gd name="connsiteY1" fmla="*/ 563218 h 811696"/>
            <a:gd name="connsiteX2" fmla="*/ 0 w 295486"/>
            <a:gd name="connsiteY2" fmla="*/ 0 h 811696"/>
            <a:gd name="connsiteX0" fmla="*/ 302050 w 305256"/>
            <a:gd name="connsiteY0" fmla="*/ 807642 h 807642"/>
            <a:gd name="connsiteX1" fmla="*/ 256761 w 305256"/>
            <a:gd name="connsiteY1" fmla="*/ 563218 h 807642"/>
            <a:gd name="connsiteX2" fmla="*/ 0 w 305256"/>
            <a:gd name="connsiteY2" fmla="*/ 0 h 807642"/>
            <a:gd name="connsiteX0" fmla="*/ 302050 w 302050"/>
            <a:gd name="connsiteY0" fmla="*/ 807642 h 807642"/>
            <a:gd name="connsiteX1" fmla="*/ 256761 w 302050"/>
            <a:gd name="connsiteY1" fmla="*/ 563218 h 807642"/>
            <a:gd name="connsiteX2" fmla="*/ 0 w 302050"/>
            <a:gd name="connsiteY2" fmla="*/ 0 h 807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050" h="807642">
              <a:moveTo>
                <a:pt x="302050" y="807642"/>
              </a:moveTo>
              <a:cubicBezTo>
                <a:pt x="293429" y="746990"/>
                <a:pt x="307103" y="697825"/>
                <a:pt x="256761" y="563218"/>
              </a:cubicBezTo>
              <a:cubicBezTo>
                <a:pt x="206419" y="428611"/>
                <a:pt x="46935" y="9387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767361</xdr:colOff>
      <xdr:row>5</xdr:row>
      <xdr:rowOff>105519</xdr:rowOff>
    </xdr:from>
    <xdr:to>
      <xdr:col>3</xdr:col>
      <xdr:colOff>767361</xdr:colOff>
      <xdr:row>5</xdr:row>
      <xdr:rowOff>1431451</xdr:rowOff>
    </xdr:to>
    <xdr:cxnSp macro="">
      <xdr:nvCxnSpPr>
        <xdr:cNvPr id="182" name="Прямая со стрелкой 18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5094432" y="2282662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725128</xdr:colOff>
      <xdr:row>5</xdr:row>
      <xdr:rowOff>1401688</xdr:rowOff>
    </xdr:from>
    <xdr:to>
      <xdr:col>3</xdr:col>
      <xdr:colOff>797128</xdr:colOff>
      <xdr:row>5</xdr:row>
      <xdr:rowOff>1473688</xdr:rowOff>
    </xdr:to>
    <xdr:sp macro="" textlink="">
      <xdr:nvSpPr>
        <xdr:cNvPr id="183" name="Овал 18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5052199" y="357883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770752</xdr:colOff>
      <xdr:row>5</xdr:row>
      <xdr:rowOff>148436</xdr:rowOff>
    </xdr:from>
    <xdr:to>
      <xdr:col>3</xdr:col>
      <xdr:colOff>994562</xdr:colOff>
      <xdr:row>5</xdr:row>
      <xdr:rowOff>1017390</xdr:rowOff>
    </xdr:to>
    <xdr:cxnSp macro="">
      <xdr:nvCxnSpPr>
        <xdr:cNvPr id="184" name="Прямая со стрелкой 183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V="1">
          <a:off x="5097823" y="2325579"/>
          <a:ext cx="223810" cy="868954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553631</xdr:colOff>
      <xdr:row>5</xdr:row>
      <xdr:rowOff>200988</xdr:rowOff>
    </xdr:from>
    <xdr:to>
      <xdr:col>3</xdr:col>
      <xdr:colOff>768314</xdr:colOff>
      <xdr:row>5</xdr:row>
      <xdr:rowOff>1023925</xdr:rowOff>
    </xdr:to>
    <xdr:cxnSp macro="">
      <xdr:nvCxnSpPr>
        <xdr:cNvPr id="185" name="Прямая со стрелкой 184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H="1" flipV="1">
          <a:off x="4880702" y="2378131"/>
          <a:ext cx="214683" cy="82293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747360</xdr:colOff>
      <xdr:row>5</xdr:row>
      <xdr:rowOff>1334272</xdr:rowOff>
    </xdr:from>
    <xdr:to>
      <xdr:col>1</xdr:col>
      <xdr:colOff>819360</xdr:colOff>
      <xdr:row>5</xdr:row>
      <xdr:rowOff>1406272</xdr:rowOff>
    </xdr:to>
    <xdr:sp macro="" textlink="">
      <xdr:nvSpPr>
        <xdr:cNvPr id="186" name="Овал 18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189717" y="351141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782232</xdr:colOff>
      <xdr:row>5</xdr:row>
      <xdr:rowOff>250125</xdr:rowOff>
    </xdr:from>
    <xdr:to>
      <xdr:col>1</xdr:col>
      <xdr:colOff>980151</xdr:colOff>
      <xdr:row>5</xdr:row>
      <xdr:rowOff>1389698</xdr:rowOff>
    </xdr:to>
    <xdr:sp macro="" textlink="">
      <xdr:nvSpPr>
        <xdr:cNvPr id="187" name="Полилиния 186"/>
        <xdr:cNvSpPr/>
      </xdr:nvSpPr>
      <xdr:spPr>
        <a:xfrm>
          <a:off x="2224589" y="2427268"/>
          <a:ext cx="197919" cy="1139573"/>
        </a:xfrm>
        <a:custGeom>
          <a:avLst/>
          <a:gdLst>
            <a:gd name="connsiteX0" fmla="*/ 0 w 240196"/>
            <a:gd name="connsiteY0" fmla="*/ 1192696 h 1196056"/>
            <a:gd name="connsiteX1" fmla="*/ 16565 w 240196"/>
            <a:gd name="connsiteY1" fmla="*/ 1126435 h 1196056"/>
            <a:gd name="connsiteX2" fmla="*/ 49696 w 240196"/>
            <a:gd name="connsiteY2" fmla="*/ 720587 h 1196056"/>
            <a:gd name="connsiteX3" fmla="*/ 149087 w 240196"/>
            <a:gd name="connsiteY3" fmla="*/ 265044 h 1196056"/>
            <a:gd name="connsiteX4" fmla="*/ 240196 w 240196"/>
            <a:gd name="connsiteY4" fmla="*/ 0 h 1196056"/>
            <a:gd name="connsiteX0" fmla="*/ 0 w 223631"/>
            <a:gd name="connsiteY0" fmla="*/ 1126435 h 1126435"/>
            <a:gd name="connsiteX1" fmla="*/ 33131 w 223631"/>
            <a:gd name="connsiteY1" fmla="*/ 720587 h 1126435"/>
            <a:gd name="connsiteX2" fmla="*/ 132522 w 223631"/>
            <a:gd name="connsiteY2" fmla="*/ 265044 h 1126435"/>
            <a:gd name="connsiteX3" fmla="*/ 223631 w 223631"/>
            <a:gd name="connsiteY3" fmla="*/ 0 h 1126435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5616 w 196403"/>
            <a:gd name="connsiteY0" fmla="*/ 1139573 h 1139573"/>
            <a:gd name="connsiteX1" fmla="*/ 5903 w 196403"/>
            <a:gd name="connsiteY1" fmla="*/ 720587 h 1139573"/>
            <a:gd name="connsiteX2" fmla="*/ 105294 w 196403"/>
            <a:gd name="connsiteY2" fmla="*/ 265044 h 1139573"/>
            <a:gd name="connsiteX3" fmla="*/ 196403 w 196403"/>
            <a:gd name="connsiteY3" fmla="*/ 0 h 1139573"/>
            <a:gd name="connsiteX0" fmla="*/ 8127 w 198914"/>
            <a:gd name="connsiteY0" fmla="*/ 1139573 h 1139573"/>
            <a:gd name="connsiteX1" fmla="*/ 8414 w 198914"/>
            <a:gd name="connsiteY1" fmla="*/ 720587 h 1139573"/>
            <a:gd name="connsiteX2" fmla="*/ 107805 w 198914"/>
            <a:gd name="connsiteY2" fmla="*/ 265044 h 1139573"/>
            <a:gd name="connsiteX3" fmla="*/ 198914 w 198914"/>
            <a:gd name="connsiteY3" fmla="*/ 0 h 1139573"/>
            <a:gd name="connsiteX0" fmla="*/ 7132 w 197919"/>
            <a:gd name="connsiteY0" fmla="*/ 1139573 h 1139573"/>
            <a:gd name="connsiteX1" fmla="*/ 7419 w 197919"/>
            <a:gd name="connsiteY1" fmla="*/ 720587 h 1139573"/>
            <a:gd name="connsiteX2" fmla="*/ 106810 w 197919"/>
            <a:gd name="connsiteY2" fmla="*/ 265044 h 1139573"/>
            <a:gd name="connsiteX3" fmla="*/ 197919 w 197919"/>
            <a:gd name="connsiteY3" fmla="*/ 0 h 113957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97919" h="1139573">
              <a:moveTo>
                <a:pt x="7132" y="1139573"/>
              </a:moveTo>
              <a:cubicBezTo>
                <a:pt x="7309" y="1012809"/>
                <a:pt x="-9194" y="866342"/>
                <a:pt x="7419" y="720587"/>
              </a:cubicBezTo>
              <a:cubicBezTo>
                <a:pt x="24032" y="574832"/>
                <a:pt x="75060" y="385142"/>
                <a:pt x="106810" y="265044"/>
              </a:cubicBezTo>
              <a:cubicBezTo>
                <a:pt x="138560" y="144946"/>
                <a:pt x="168239" y="72473"/>
                <a:pt x="197919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484527</xdr:colOff>
      <xdr:row>5</xdr:row>
      <xdr:rowOff>223644</xdr:rowOff>
    </xdr:from>
    <xdr:to>
      <xdr:col>1</xdr:col>
      <xdr:colOff>789298</xdr:colOff>
      <xdr:row>5</xdr:row>
      <xdr:rowOff>1029926</xdr:rowOff>
    </xdr:to>
    <xdr:sp macro="" textlink="">
      <xdr:nvSpPr>
        <xdr:cNvPr id="188" name="Полилиния 187"/>
        <xdr:cNvSpPr/>
      </xdr:nvSpPr>
      <xdr:spPr>
        <a:xfrm>
          <a:off x="1926884" y="2400787"/>
          <a:ext cx="304771" cy="806282"/>
        </a:xfrm>
        <a:custGeom>
          <a:avLst/>
          <a:gdLst>
            <a:gd name="connsiteX0" fmla="*/ 289891 w 295486"/>
            <a:gd name="connsiteY0" fmla="*/ 811696 h 811696"/>
            <a:gd name="connsiteX1" fmla="*/ 256761 w 295486"/>
            <a:gd name="connsiteY1" fmla="*/ 563218 h 811696"/>
            <a:gd name="connsiteX2" fmla="*/ 0 w 295486"/>
            <a:gd name="connsiteY2" fmla="*/ 0 h 811696"/>
            <a:gd name="connsiteX0" fmla="*/ 302050 w 305256"/>
            <a:gd name="connsiteY0" fmla="*/ 807642 h 807642"/>
            <a:gd name="connsiteX1" fmla="*/ 256761 w 305256"/>
            <a:gd name="connsiteY1" fmla="*/ 563218 h 807642"/>
            <a:gd name="connsiteX2" fmla="*/ 0 w 305256"/>
            <a:gd name="connsiteY2" fmla="*/ 0 h 807642"/>
            <a:gd name="connsiteX0" fmla="*/ 302050 w 302050"/>
            <a:gd name="connsiteY0" fmla="*/ 807642 h 807642"/>
            <a:gd name="connsiteX1" fmla="*/ 256761 w 302050"/>
            <a:gd name="connsiteY1" fmla="*/ 563218 h 807642"/>
            <a:gd name="connsiteX2" fmla="*/ 0 w 302050"/>
            <a:gd name="connsiteY2" fmla="*/ 0 h 807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2050" h="807642">
              <a:moveTo>
                <a:pt x="302050" y="807642"/>
              </a:moveTo>
              <a:cubicBezTo>
                <a:pt x="293429" y="746990"/>
                <a:pt x="307103" y="697825"/>
                <a:pt x="256761" y="563218"/>
              </a:cubicBezTo>
              <a:cubicBezTo>
                <a:pt x="206419" y="428611"/>
                <a:pt x="46935" y="9387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1</xdr:col>
      <xdr:colOff>457279</xdr:colOff>
      <xdr:row>1</xdr:row>
      <xdr:rowOff>230167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914479" cy="49686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7002</xdr:rowOff>
    </xdr:from>
    <xdr:to>
      <xdr:col>2</xdr:col>
      <xdr:colOff>104854</xdr:colOff>
      <xdr:row>2</xdr:row>
      <xdr:rowOff>75244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7002"/>
          <a:ext cx="925685" cy="516477"/>
        </a:xfrm>
        <a:prstGeom prst="rect">
          <a:avLst/>
        </a:prstGeom>
      </xdr:spPr>
    </xdr:pic>
    <xdr:clientData/>
  </xdr:twoCellAnchor>
  <xdr:twoCellAnchor>
    <xdr:from>
      <xdr:col>3</xdr:col>
      <xdr:colOff>812094</xdr:colOff>
      <xdr:row>13</xdr:row>
      <xdr:rowOff>157682</xdr:rowOff>
    </xdr:from>
    <xdr:to>
      <xdr:col>3</xdr:col>
      <xdr:colOff>812094</xdr:colOff>
      <xdr:row>13</xdr:row>
      <xdr:rowOff>1420342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CxnSpPr/>
      </xdr:nvCxnSpPr>
      <xdr:spPr>
        <a:xfrm flipV="1">
          <a:off x="2358506" y="13884888"/>
          <a:ext cx="0" cy="1262660"/>
        </a:xfrm>
        <a:prstGeom prst="straightConnector1">
          <a:avLst/>
        </a:prstGeom>
        <a:ln w="15875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778428</xdr:colOff>
      <xdr:row>13</xdr:row>
      <xdr:rowOff>1378561</xdr:rowOff>
    </xdr:from>
    <xdr:to>
      <xdr:col>3</xdr:col>
      <xdr:colOff>850428</xdr:colOff>
      <xdr:row>13</xdr:row>
      <xdr:rowOff>1450561</xdr:rowOff>
    </xdr:to>
    <xdr:sp macro="" textlink="">
      <xdr:nvSpPr>
        <xdr:cNvPr id="15" name="Овал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2324840" y="15105767"/>
          <a:ext cx="72000" cy="72000"/>
        </a:xfrm>
        <a:prstGeom prst="ellipse">
          <a:avLst/>
        </a:prstGeom>
        <a:solidFill>
          <a:schemeClr val="tx1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593835</xdr:colOff>
      <xdr:row>13</xdr:row>
      <xdr:rowOff>811950</xdr:rowOff>
    </xdr:from>
    <xdr:to>
      <xdr:col>3</xdr:col>
      <xdr:colOff>665835</xdr:colOff>
      <xdr:row>13</xdr:row>
      <xdr:rowOff>883950</xdr:rowOff>
    </xdr:to>
    <xdr:sp macro="" textlink="">
      <xdr:nvSpPr>
        <xdr:cNvPr id="22" name="5-конечная звезда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>
        <a:xfrm>
          <a:off x="2140247" y="14539156"/>
          <a:ext cx="72000" cy="72000"/>
        </a:xfrm>
        <a:prstGeom prst="star5">
          <a:avLst/>
        </a:prstGeom>
        <a:noFill/>
        <a:ln w="15875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812094</xdr:colOff>
      <xdr:row>12</xdr:row>
      <xdr:rowOff>89646</xdr:rowOff>
    </xdr:from>
    <xdr:to>
      <xdr:col>3</xdr:col>
      <xdr:colOff>812094</xdr:colOff>
      <xdr:row>12</xdr:row>
      <xdr:rowOff>1352306</xdr:rowOff>
    </xdr:to>
    <xdr:cxnSp macro="">
      <xdr:nvCxnSpPr>
        <xdr:cNvPr id="23" name="Прямая со стрелкой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CxnSpPr/>
      </xdr:nvCxnSpPr>
      <xdr:spPr>
        <a:xfrm flipV="1">
          <a:off x="2358506" y="12292852"/>
          <a:ext cx="0" cy="1262660"/>
        </a:xfrm>
        <a:prstGeom prst="straightConnector1">
          <a:avLst/>
        </a:prstGeom>
        <a:ln w="15875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778428</xdr:colOff>
      <xdr:row>12</xdr:row>
      <xdr:rowOff>1310525</xdr:rowOff>
    </xdr:from>
    <xdr:to>
      <xdr:col>3</xdr:col>
      <xdr:colOff>850428</xdr:colOff>
      <xdr:row>12</xdr:row>
      <xdr:rowOff>1382525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/>
      </xdr:nvSpPr>
      <xdr:spPr>
        <a:xfrm>
          <a:off x="2324840" y="13513731"/>
          <a:ext cx="72000" cy="72000"/>
        </a:xfrm>
        <a:prstGeom prst="ellipse">
          <a:avLst/>
        </a:prstGeom>
        <a:solidFill>
          <a:schemeClr val="tx1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941707</xdr:colOff>
      <xdr:row>13</xdr:row>
      <xdr:rowOff>811950</xdr:rowOff>
    </xdr:from>
    <xdr:to>
      <xdr:col>3</xdr:col>
      <xdr:colOff>1013707</xdr:colOff>
      <xdr:row>13</xdr:row>
      <xdr:rowOff>883950</xdr:rowOff>
    </xdr:to>
    <xdr:sp macro="" textlink="">
      <xdr:nvSpPr>
        <xdr:cNvPr id="25" name="5-конечная звезда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2488119" y="14539156"/>
          <a:ext cx="72000" cy="72000"/>
        </a:xfrm>
        <a:prstGeom prst="star5">
          <a:avLst/>
        </a:prstGeom>
        <a:noFill/>
        <a:ln w="15875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981636</xdr:colOff>
      <xdr:row>13</xdr:row>
      <xdr:rowOff>269260</xdr:rowOff>
    </xdr:from>
    <xdr:to>
      <xdr:col>5</xdr:col>
      <xdr:colOff>212965</xdr:colOff>
      <xdr:row>13</xdr:row>
      <xdr:rowOff>878913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8077" y="13996466"/>
          <a:ext cx="609653" cy="609653"/>
        </a:xfrm>
        <a:prstGeom prst="rect">
          <a:avLst/>
        </a:prstGeom>
      </xdr:spPr>
    </xdr:pic>
    <xdr:clientData/>
  </xdr:twoCellAnchor>
  <xdr:twoCellAnchor>
    <xdr:from>
      <xdr:col>3</xdr:col>
      <xdr:colOff>818590</xdr:colOff>
      <xdr:row>12</xdr:row>
      <xdr:rowOff>755035</xdr:rowOff>
    </xdr:from>
    <xdr:to>
      <xdr:col>3</xdr:col>
      <xdr:colOff>1479256</xdr:colOff>
      <xdr:row>12</xdr:row>
      <xdr:rowOff>755035</xdr:rowOff>
    </xdr:to>
    <xdr:cxnSp macro="">
      <xdr:nvCxnSpPr>
        <xdr:cNvPr id="27" name="Прямая со стрелкой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CxnSpPr/>
      </xdr:nvCxnSpPr>
      <xdr:spPr>
        <a:xfrm>
          <a:off x="2365002" y="12958241"/>
          <a:ext cx="660666" cy="0"/>
        </a:xfrm>
        <a:prstGeom prst="straightConnector1">
          <a:avLst/>
        </a:prstGeom>
        <a:ln w="15875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123265</xdr:colOff>
      <xdr:row>12</xdr:row>
      <xdr:rowOff>755035</xdr:rowOff>
    </xdr:from>
    <xdr:to>
      <xdr:col>3</xdr:col>
      <xdr:colOff>783931</xdr:colOff>
      <xdr:row>12</xdr:row>
      <xdr:rowOff>755035</xdr:rowOff>
    </xdr:to>
    <xdr:cxnSp macro="">
      <xdr:nvCxnSpPr>
        <xdr:cNvPr id="28" name="Прямая со стрелкой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CxnSpPr/>
      </xdr:nvCxnSpPr>
      <xdr:spPr>
        <a:xfrm>
          <a:off x="1669677" y="12958241"/>
          <a:ext cx="660666" cy="0"/>
        </a:xfrm>
        <a:prstGeom prst="straightConnector1">
          <a:avLst/>
        </a:prstGeom>
        <a:ln w="15875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932182</xdr:colOff>
      <xdr:row>12</xdr:row>
      <xdr:rowOff>859575</xdr:rowOff>
    </xdr:from>
    <xdr:to>
      <xdr:col>3</xdr:col>
      <xdr:colOff>1004182</xdr:colOff>
      <xdr:row>12</xdr:row>
      <xdr:rowOff>931575</xdr:rowOff>
    </xdr:to>
    <xdr:sp macro="" textlink="">
      <xdr:nvSpPr>
        <xdr:cNvPr id="29" name="5-конечная звезда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/>
      </xdr:nvSpPr>
      <xdr:spPr>
        <a:xfrm>
          <a:off x="2478594" y="13062781"/>
          <a:ext cx="72000" cy="72000"/>
        </a:xfrm>
        <a:prstGeom prst="star5">
          <a:avLst/>
        </a:prstGeom>
        <a:noFill/>
        <a:ln w="15875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370852</xdr:colOff>
      <xdr:row>18</xdr:row>
      <xdr:rowOff>356014</xdr:rowOff>
    </xdr:from>
    <xdr:to>
      <xdr:col>5</xdr:col>
      <xdr:colOff>485231</xdr:colOff>
      <xdr:row>18</xdr:row>
      <xdr:rowOff>746539</xdr:rowOff>
    </xdr:to>
    <xdr:sp macro="" textlink="">
      <xdr:nvSpPr>
        <xdr:cNvPr id="2" name="Прямоугольник 1"/>
        <xdr:cNvSpPr/>
      </xdr:nvSpPr>
      <xdr:spPr>
        <a:xfrm>
          <a:off x="3495052" y="22568314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800414</xdr:colOff>
      <xdr:row>4</xdr:row>
      <xdr:rowOff>56029</xdr:rowOff>
    </xdr:from>
    <xdr:to>
      <xdr:col>3</xdr:col>
      <xdr:colOff>800414</xdr:colOff>
      <xdr:row>4</xdr:row>
      <xdr:rowOff>1367985</xdr:rowOff>
    </xdr:to>
    <xdr:cxnSp macro="">
      <xdr:nvCxnSpPr>
        <xdr:cNvPr id="3" name="Прямая со стрелкой 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464" y="932329"/>
          <a:ext cx="0" cy="1311956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759421</xdr:colOff>
      <xdr:row>4</xdr:row>
      <xdr:rowOff>1350286</xdr:rowOff>
    </xdr:from>
    <xdr:to>
      <xdr:col>3</xdr:col>
      <xdr:colOff>831421</xdr:colOff>
      <xdr:row>4</xdr:row>
      <xdr:rowOff>1422286</xdr:rowOff>
    </xdr:to>
    <xdr:sp macro="" textlink="">
      <xdr:nvSpPr>
        <xdr:cNvPr id="4" name="Овал 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22265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974093</xdr:colOff>
      <xdr:row>4</xdr:row>
      <xdr:rowOff>694273</xdr:rowOff>
    </xdr:from>
    <xdr:to>
      <xdr:col>3</xdr:col>
      <xdr:colOff>1046093</xdr:colOff>
      <xdr:row>4</xdr:row>
      <xdr:rowOff>766273</xdr:rowOff>
    </xdr:to>
    <xdr:sp macro="" textlink="">
      <xdr:nvSpPr>
        <xdr:cNvPr id="5" name="5-конечная звезда 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7143" y="157057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539649</xdr:colOff>
      <xdr:row>4</xdr:row>
      <xdr:rowOff>701600</xdr:rowOff>
    </xdr:from>
    <xdr:to>
      <xdr:col>3</xdr:col>
      <xdr:colOff>611649</xdr:colOff>
      <xdr:row>4</xdr:row>
      <xdr:rowOff>773600</xdr:rowOff>
    </xdr:to>
    <xdr:sp macro="" textlink="">
      <xdr:nvSpPr>
        <xdr:cNvPr id="6" name="5-конечная звезда 5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2699" y="1577900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508271</xdr:colOff>
      <xdr:row>4</xdr:row>
      <xdr:rowOff>94532</xdr:rowOff>
    </xdr:from>
    <xdr:to>
      <xdr:col>4</xdr:col>
      <xdr:colOff>1124727</xdr:colOff>
      <xdr:row>4</xdr:row>
      <xdr:rowOff>704185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471" y="970832"/>
          <a:ext cx="616456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133751</xdr:colOff>
      <xdr:row>4</xdr:row>
      <xdr:rowOff>81962</xdr:rowOff>
    </xdr:from>
    <xdr:to>
      <xdr:col>5</xdr:col>
      <xdr:colOff>748526</xdr:colOff>
      <xdr:row>4</xdr:row>
      <xdr:rowOff>691615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076" y="958262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815893</xdr:colOff>
      <xdr:row>5</xdr:row>
      <xdr:rowOff>1331867</xdr:rowOff>
    </xdr:from>
    <xdr:to>
      <xdr:col>3</xdr:col>
      <xdr:colOff>891206</xdr:colOff>
      <xdr:row>5</xdr:row>
      <xdr:rowOff>1403867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358943" y="3732167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839025</xdr:colOff>
      <xdr:row>5</xdr:row>
      <xdr:rowOff>926775</xdr:rowOff>
    </xdr:from>
    <xdr:to>
      <xdr:col>3</xdr:col>
      <xdr:colOff>1078856</xdr:colOff>
      <xdr:row>5</xdr:row>
      <xdr:rowOff>961468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>
          <a:off x="2382075" y="3327075"/>
          <a:ext cx="239831" cy="34693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799166</xdr:colOff>
      <xdr:row>5</xdr:row>
      <xdr:rowOff>540454</xdr:rowOff>
    </xdr:from>
    <xdr:to>
      <xdr:col>3</xdr:col>
      <xdr:colOff>978003</xdr:colOff>
      <xdr:row>5</xdr:row>
      <xdr:rowOff>733621</xdr:rowOff>
    </xdr:to>
    <xdr:cxnSp macro="">
      <xdr:nvCxnSpPr>
        <xdr:cNvPr id="11" name="Прямая со стрелкой 10">
          <a:extLst>
            <a:ext uri="{FF2B5EF4-FFF2-40B4-BE49-F238E27FC236}">
              <a16:creationId xmlns:a16="http://schemas.microsoft.com/office/drawing/2014/main" id="{00000000-0008-0000-0900-000038020000}"/>
            </a:ext>
          </a:extLst>
        </xdr:cNvPr>
        <xdr:cNvCxnSpPr/>
      </xdr:nvCxnSpPr>
      <xdr:spPr>
        <a:xfrm flipH="1">
          <a:off x="2342216" y="2940754"/>
          <a:ext cx="178837" cy="19316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798853</xdr:colOff>
      <xdr:row>7</xdr:row>
      <xdr:rowOff>49586</xdr:rowOff>
    </xdr:from>
    <xdr:to>
      <xdr:col>3</xdr:col>
      <xdr:colOff>798853</xdr:colOff>
      <xdr:row>7</xdr:row>
      <xdr:rowOff>1375518</xdr:rowOff>
    </xdr:to>
    <xdr:cxnSp macro="">
      <xdr:nvCxnSpPr>
        <xdr:cNvPr id="12" name="Прямая со стрелкой 1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41903" y="5497886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7</xdr:row>
      <xdr:rowOff>1345755</xdr:rowOff>
    </xdr:from>
    <xdr:to>
      <xdr:col>3</xdr:col>
      <xdr:colOff>828620</xdr:colOff>
      <xdr:row>7</xdr:row>
      <xdr:rowOff>1417755</xdr:rowOff>
    </xdr:to>
    <xdr:sp macro="" textlink="">
      <xdr:nvSpPr>
        <xdr:cNvPr id="13" name="Овал 1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9670" y="6794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797299</xdr:colOff>
      <xdr:row>7</xdr:row>
      <xdr:rowOff>73479</xdr:rowOff>
    </xdr:from>
    <xdr:to>
      <xdr:col>3</xdr:col>
      <xdr:colOff>1102099</xdr:colOff>
      <xdr:row>7</xdr:row>
      <xdr:rowOff>883104</xdr:rowOff>
    </xdr:to>
    <xdr:sp macro="" textlink="">
      <xdr:nvSpPr>
        <xdr:cNvPr id="14" name="Полилиния 13"/>
        <xdr:cNvSpPr/>
      </xdr:nvSpPr>
      <xdr:spPr>
        <a:xfrm>
          <a:off x="2340349" y="5521779"/>
          <a:ext cx="304800" cy="809625"/>
        </a:xfrm>
        <a:custGeom>
          <a:avLst/>
          <a:gdLst>
            <a:gd name="connsiteX0" fmla="*/ 0 w 304800"/>
            <a:gd name="connsiteY0" fmla="*/ 809625 h 809625"/>
            <a:gd name="connsiteX1" fmla="*/ 123825 w 304800"/>
            <a:gd name="connsiteY1" fmla="*/ 409575 h 809625"/>
            <a:gd name="connsiteX2" fmla="*/ 304800 w 304800"/>
            <a:gd name="connsiteY2" fmla="*/ 0 h 809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4800" h="809625">
              <a:moveTo>
                <a:pt x="0" y="809625"/>
              </a:moveTo>
              <a:cubicBezTo>
                <a:pt x="36512" y="677068"/>
                <a:pt x="73025" y="544512"/>
                <a:pt x="123825" y="409575"/>
              </a:cubicBezTo>
              <a:cubicBezTo>
                <a:pt x="174625" y="274637"/>
                <a:pt x="239712" y="137318"/>
                <a:pt x="30480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807657</xdr:colOff>
      <xdr:row>9</xdr:row>
      <xdr:rowOff>62187</xdr:rowOff>
    </xdr:from>
    <xdr:to>
      <xdr:col>3</xdr:col>
      <xdr:colOff>807657</xdr:colOff>
      <xdr:row>9</xdr:row>
      <xdr:rowOff>1388119</xdr:rowOff>
    </xdr:to>
    <xdr:cxnSp macro="">
      <xdr:nvCxnSpPr>
        <xdr:cNvPr id="15" name="Прямая со стрелкой 1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50707" y="8558487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765424</xdr:colOff>
      <xdr:row>9</xdr:row>
      <xdr:rowOff>1358356</xdr:rowOff>
    </xdr:from>
    <xdr:to>
      <xdr:col>3</xdr:col>
      <xdr:colOff>837424</xdr:colOff>
      <xdr:row>9</xdr:row>
      <xdr:rowOff>1430356</xdr:rowOff>
    </xdr:to>
    <xdr:sp macro="" textlink="">
      <xdr:nvSpPr>
        <xdr:cNvPr id="16" name="Овал 1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8474" y="985465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811048</xdr:colOff>
      <xdr:row>9</xdr:row>
      <xdr:rowOff>105104</xdr:rowOff>
    </xdr:from>
    <xdr:to>
      <xdr:col>3</xdr:col>
      <xdr:colOff>1034858</xdr:colOff>
      <xdr:row>9</xdr:row>
      <xdr:rowOff>974058</xdr:rowOff>
    </xdr:to>
    <xdr:cxnSp macro="">
      <xdr:nvCxnSpPr>
        <xdr:cNvPr id="17" name="Прямая со стрелкой 16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V="1">
          <a:off x="2354098" y="8601404"/>
          <a:ext cx="223810" cy="868954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596648</xdr:colOff>
      <xdr:row>9</xdr:row>
      <xdr:rowOff>157656</xdr:rowOff>
    </xdr:from>
    <xdr:to>
      <xdr:col>3</xdr:col>
      <xdr:colOff>808610</xdr:colOff>
      <xdr:row>9</xdr:row>
      <xdr:rowOff>980593</xdr:rowOff>
    </xdr:to>
    <xdr:cxnSp macro="">
      <xdr:nvCxnSpPr>
        <xdr:cNvPr id="18" name="Прямая со стрелкой 17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H="1" flipV="1">
          <a:off x="2139698" y="8653956"/>
          <a:ext cx="211962" cy="822937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800593</xdr:colOff>
      <xdr:row>13</xdr:row>
      <xdr:rowOff>111563</xdr:rowOff>
    </xdr:from>
    <xdr:to>
      <xdr:col>3</xdr:col>
      <xdr:colOff>800593</xdr:colOff>
      <xdr:row>13</xdr:row>
      <xdr:rowOff>1403490</xdr:rowOff>
    </xdr:to>
    <xdr:cxnSp macro="">
      <xdr:nvCxnSpPr>
        <xdr:cNvPr id="19" name="Прямая со стрелкой 1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643" y="14703863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759600</xdr:colOff>
      <xdr:row>13</xdr:row>
      <xdr:rowOff>1385794</xdr:rowOff>
    </xdr:from>
    <xdr:to>
      <xdr:col>3</xdr:col>
      <xdr:colOff>831600</xdr:colOff>
      <xdr:row>13</xdr:row>
      <xdr:rowOff>1457794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650" y="1597809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112059</xdr:colOff>
      <xdr:row>13</xdr:row>
      <xdr:rowOff>188812</xdr:rowOff>
    </xdr:from>
    <xdr:to>
      <xdr:col>3</xdr:col>
      <xdr:colOff>820370</xdr:colOff>
      <xdr:row>13</xdr:row>
      <xdr:rowOff>828260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 flipV="1">
          <a:off x="1655109" y="14781112"/>
          <a:ext cx="708311" cy="639448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806823</xdr:colOff>
      <xdr:row>13</xdr:row>
      <xdr:rowOff>821413</xdr:rowOff>
    </xdr:from>
    <xdr:to>
      <xdr:col>3</xdr:col>
      <xdr:colOff>1386469</xdr:colOff>
      <xdr:row>13</xdr:row>
      <xdr:rowOff>1344705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49873" y="15413713"/>
          <a:ext cx="579646" cy="523292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800592</xdr:colOff>
      <xdr:row>14</xdr:row>
      <xdr:rowOff>1005052</xdr:rowOff>
    </xdr:from>
    <xdr:to>
      <xdr:col>3</xdr:col>
      <xdr:colOff>800592</xdr:colOff>
      <xdr:row>14</xdr:row>
      <xdr:rowOff>1347107</xdr:rowOff>
    </xdr:to>
    <xdr:cxnSp macro="">
      <xdr:nvCxnSpPr>
        <xdr:cNvPr id="23" name="Прямая со стрелкой 2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642" y="17121352"/>
          <a:ext cx="0" cy="342055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762321</xdr:colOff>
      <xdr:row>14</xdr:row>
      <xdr:rowOff>1310908</xdr:rowOff>
    </xdr:from>
    <xdr:to>
      <xdr:col>3</xdr:col>
      <xdr:colOff>834321</xdr:colOff>
      <xdr:row>14</xdr:row>
      <xdr:rowOff>1382908</xdr:rowOff>
    </xdr:to>
    <xdr:sp macro="" textlink="">
      <xdr:nvSpPr>
        <xdr:cNvPr id="24" name="Овал 2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5371" y="1742720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58370</xdr:colOff>
      <xdr:row>14</xdr:row>
      <xdr:rowOff>554004</xdr:rowOff>
    </xdr:from>
    <xdr:to>
      <xdr:col>3</xdr:col>
      <xdr:colOff>1551215</xdr:colOff>
      <xdr:row>14</xdr:row>
      <xdr:rowOff>814654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1601420" y="16670304"/>
          <a:ext cx="1492845" cy="260650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791431</xdr:colOff>
      <xdr:row>15</xdr:row>
      <xdr:rowOff>37216</xdr:rowOff>
    </xdr:from>
    <xdr:to>
      <xdr:col>3</xdr:col>
      <xdr:colOff>791431</xdr:colOff>
      <xdr:row>15</xdr:row>
      <xdr:rowOff>1363148</xdr:rowOff>
    </xdr:to>
    <xdr:cxnSp macro="">
      <xdr:nvCxnSpPr>
        <xdr:cNvPr id="26" name="Прямая со стрелкой 2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34481" y="17677516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749198</xdr:colOff>
      <xdr:row>15</xdr:row>
      <xdr:rowOff>1333385</xdr:rowOff>
    </xdr:from>
    <xdr:to>
      <xdr:col>3</xdr:col>
      <xdr:colOff>821198</xdr:colOff>
      <xdr:row>15</xdr:row>
      <xdr:rowOff>1405385</xdr:rowOff>
    </xdr:to>
    <xdr:sp macro="" textlink="">
      <xdr:nvSpPr>
        <xdr:cNvPr id="27" name="Овал 26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2248" y="1897368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801083</xdr:colOff>
      <xdr:row>15</xdr:row>
      <xdr:rowOff>61109</xdr:rowOff>
    </xdr:from>
    <xdr:to>
      <xdr:col>3</xdr:col>
      <xdr:colOff>1105883</xdr:colOff>
      <xdr:row>15</xdr:row>
      <xdr:rowOff>870734</xdr:rowOff>
    </xdr:to>
    <xdr:sp macro="" textlink="">
      <xdr:nvSpPr>
        <xdr:cNvPr id="28" name="Полилиния 27"/>
        <xdr:cNvSpPr/>
      </xdr:nvSpPr>
      <xdr:spPr>
        <a:xfrm>
          <a:off x="2344133" y="17701409"/>
          <a:ext cx="304800" cy="809625"/>
        </a:xfrm>
        <a:custGeom>
          <a:avLst/>
          <a:gdLst>
            <a:gd name="connsiteX0" fmla="*/ 0 w 304800"/>
            <a:gd name="connsiteY0" fmla="*/ 809625 h 809625"/>
            <a:gd name="connsiteX1" fmla="*/ 123825 w 304800"/>
            <a:gd name="connsiteY1" fmla="*/ 409575 h 809625"/>
            <a:gd name="connsiteX2" fmla="*/ 304800 w 304800"/>
            <a:gd name="connsiteY2" fmla="*/ 0 h 809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4800" h="809625">
              <a:moveTo>
                <a:pt x="0" y="809625"/>
              </a:moveTo>
              <a:cubicBezTo>
                <a:pt x="36512" y="677068"/>
                <a:pt x="73025" y="544512"/>
                <a:pt x="123825" y="409575"/>
              </a:cubicBezTo>
              <a:cubicBezTo>
                <a:pt x="174625" y="274637"/>
                <a:pt x="239712" y="137318"/>
                <a:pt x="30480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791431</xdr:colOff>
      <xdr:row>16</xdr:row>
      <xdr:rowOff>106488</xdr:rowOff>
    </xdr:from>
    <xdr:to>
      <xdr:col>3</xdr:col>
      <xdr:colOff>791431</xdr:colOff>
      <xdr:row>16</xdr:row>
      <xdr:rowOff>1432420</xdr:rowOff>
    </xdr:to>
    <xdr:cxnSp macro="">
      <xdr:nvCxnSpPr>
        <xdr:cNvPr id="29" name="Прямая со стрелкой 2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34481" y="19270788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749198</xdr:colOff>
      <xdr:row>16</xdr:row>
      <xdr:rowOff>1402657</xdr:rowOff>
    </xdr:from>
    <xdr:to>
      <xdr:col>3</xdr:col>
      <xdr:colOff>821198</xdr:colOff>
      <xdr:row>16</xdr:row>
      <xdr:rowOff>1474657</xdr:rowOff>
    </xdr:to>
    <xdr:sp macro="" textlink="">
      <xdr:nvSpPr>
        <xdr:cNvPr id="30" name="Овал 2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2248" y="2056695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798673</xdr:colOff>
      <xdr:row>16</xdr:row>
      <xdr:rowOff>175846</xdr:rowOff>
    </xdr:from>
    <xdr:to>
      <xdr:col>3</xdr:col>
      <xdr:colOff>1451686</xdr:colOff>
      <xdr:row>16</xdr:row>
      <xdr:rowOff>982265</xdr:rowOff>
    </xdr:to>
    <xdr:sp macro="" textlink="">
      <xdr:nvSpPr>
        <xdr:cNvPr id="31" name="Полилиния 30"/>
        <xdr:cNvSpPr/>
      </xdr:nvSpPr>
      <xdr:spPr>
        <a:xfrm>
          <a:off x="2341723" y="19340146"/>
          <a:ext cx="653013" cy="806419"/>
        </a:xfrm>
        <a:custGeom>
          <a:avLst/>
          <a:gdLst>
            <a:gd name="connsiteX0" fmla="*/ 0 w 303610"/>
            <a:gd name="connsiteY0" fmla="*/ 500062 h 500062"/>
            <a:gd name="connsiteX1" fmla="*/ 119063 w 303610"/>
            <a:gd name="connsiteY1" fmla="*/ 184547 h 500062"/>
            <a:gd name="connsiteX2" fmla="*/ 303610 w 303610"/>
            <a:gd name="connsiteY2" fmla="*/ 0 h 500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3610" h="500062">
              <a:moveTo>
                <a:pt x="0" y="500062"/>
              </a:moveTo>
              <a:cubicBezTo>
                <a:pt x="34230" y="383976"/>
                <a:pt x="68461" y="267891"/>
                <a:pt x="119063" y="184547"/>
              </a:cubicBezTo>
              <a:cubicBezTo>
                <a:pt x="169665" y="101203"/>
                <a:pt x="236637" y="50601"/>
                <a:pt x="30361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798647</xdr:colOff>
      <xdr:row>23</xdr:row>
      <xdr:rowOff>97332</xdr:rowOff>
    </xdr:from>
    <xdr:to>
      <xdr:col>3</xdr:col>
      <xdr:colOff>798647</xdr:colOff>
      <xdr:row>23</xdr:row>
      <xdr:rowOff>1386872</xdr:rowOff>
    </xdr:to>
    <xdr:cxnSp macro="">
      <xdr:nvCxnSpPr>
        <xdr:cNvPr id="32" name="Прямая со стрелкой 3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697" y="29929632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757654</xdr:colOff>
      <xdr:row>23</xdr:row>
      <xdr:rowOff>1369176</xdr:rowOff>
    </xdr:from>
    <xdr:to>
      <xdr:col>3</xdr:col>
      <xdr:colOff>829654</xdr:colOff>
      <xdr:row>23</xdr:row>
      <xdr:rowOff>1441176</xdr:rowOff>
    </xdr:to>
    <xdr:sp macro="" textlink="">
      <xdr:nvSpPr>
        <xdr:cNvPr id="33" name="Овал 3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0704" y="3120147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972326</xdr:colOff>
      <xdr:row>23</xdr:row>
      <xdr:rowOff>757987</xdr:rowOff>
    </xdr:from>
    <xdr:to>
      <xdr:col>3</xdr:col>
      <xdr:colOff>1044326</xdr:colOff>
      <xdr:row>23</xdr:row>
      <xdr:rowOff>829987</xdr:rowOff>
    </xdr:to>
    <xdr:sp macro="" textlink="">
      <xdr:nvSpPr>
        <xdr:cNvPr id="34" name="5-конечная звезда 3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5376" y="305902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537882</xdr:colOff>
      <xdr:row>23</xdr:row>
      <xdr:rowOff>765314</xdr:rowOff>
    </xdr:from>
    <xdr:to>
      <xdr:col>3</xdr:col>
      <xdr:colOff>609882</xdr:colOff>
      <xdr:row>23</xdr:row>
      <xdr:rowOff>837314</xdr:rowOff>
    </xdr:to>
    <xdr:sp macro="" textlink="">
      <xdr:nvSpPr>
        <xdr:cNvPr id="35" name="5-конечная звезда 34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0932" y="3059761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974911</xdr:colOff>
      <xdr:row>23</xdr:row>
      <xdr:rowOff>201707</xdr:rowOff>
    </xdr:from>
    <xdr:to>
      <xdr:col>5</xdr:col>
      <xdr:colOff>195646</xdr:colOff>
      <xdr:row>23</xdr:row>
      <xdr:rowOff>811360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111" y="30034007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798251</xdr:colOff>
      <xdr:row>24</xdr:row>
      <xdr:rowOff>790210</xdr:rowOff>
    </xdr:from>
    <xdr:to>
      <xdr:col>3</xdr:col>
      <xdr:colOff>798251</xdr:colOff>
      <xdr:row>24</xdr:row>
      <xdr:rowOff>1454252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301" y="32146510"/>
          <a:ext cx="0" cy="66404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759980</xdr:colOff>
      <xdr:row>24</xdr:row>
      <xdr:rowOff>1378639</xdr:rowOff>
    </xdr:from>
    <xdr:to>
      <xdr:col>3</xdr:col>
      <xdr:colOff>831980</xdr:colOff>
      <xdr:row>24</xdr:row>
      <xdr:rowOff>1450639</xdr:rowOff>
    </xdr:to>
    <xdr:sp macro="" textlink="">
      <xdr:nvSpPr>
        <xdr:cNvPr id="38" name="Овал 3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3030" y="3273493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56029</xdr:colOff>
      <xdr:row>24</xdr:row>
      <xdr:rowOff>661149</xdr:rowOff>
    </xdr:from>
    <xdr:to>
      <xdr:col>3</xdr:col>
      <xdr:colOff>1548874</xdr:colOff>
      <xdr:row>24</xdr:row>
      <xdr:rowOff>921799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1599079" y="32017449"/>
          <a:ext cx="1492845" cy="26065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790187</xdr:colOff>
      <xdr:row>25</xdr:row>
      <xdr:rowOff>112059</xdr:rowOff>
    </xdr:from>
    <xdr:to>
      <xdr:col>3</xdr:col>
      <xdr:colOff>790187</xdr:colOff>
      <xdr:row>25</xdr:row>
      <xdr:rowOff>1403986</xdr:rowOff>
    </xdr:to>
    <xdr:cxnSp macro="">
      <xdr:nvCxnSpPr>
        <xdr:cNvPr id="40" name="Прямая со стрелкой 3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3237" y="32992359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749194</xdr:colOff>
      <xdr:row>25</xdr:row>
      <xdr:rowOff>1386290</xdr:rowOff>
    </xdr:from>
    <xdr:to>
      <xdr:col>3</xdr:col>
      <xdr:colOff>821194</xdr:colOff>
      <xdr:row>25</xdr:row>
      <xdr:rowOff>1458290</xdr:rowOff>
    </xdr:to>
    <xdr:sp macro="" textlink="">
      <xdr:nvSpPr>
        <xdr:cNvPr id="41" name="Овал 4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2244" y="3426659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112058</xdr:colOff>
      <xdr:row>25</xdr:row>
      <xdr:rowOff>699605</xdr:rowOff>
    </xdr:from>
    <xdr:to>
      <xdr:col>3</xdr:col>
      <xdr:colOff>1501588</xdr:colOff>
      <xdr:row>25</xdr:row>
      <xdr:rowOff>773206</xdr:rowOff>
    </xdr:to>
    <xdr:cxnSp macro="">
      <xdr:nvCxnSpPr>
        <xdr:cNvPr id="42" name="Прямая со стрелкой 4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1655108" y="33579905"/>
          <a:ext cx="1389530" cy="73601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790187</xdr:colOff>
      <xdr:row>26</xdr:row>
      <xdr:rowOff>56030</xdr:rowOff>
    </xdr:from>
    <xdr:to>
      <xdr:col>3</xdr:col>
      <xdr:colOff>790187</xdr:colOff>
      <xdr:row>26</xdr:row>
      <xdr:rowOff>1347957</xdr:rowOff>
    </xdr:to>
    <xdr:cxnSp macro="">
      <xdr:nvCxnSpPr>
        <xdr:cNvPr id="43" name="Прямая со стрелкой 4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3237" y="34460330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749194</xdr:colOff>
      <xdr:row>26</xdr:row>
      <xdr:rowOff>1330261</xdr:rowOff>
    </xdr:from>
    <xdr:to>
      <xdr:col>3</xdr:col>
      <xdr:colOff>821194</xdr:colOff>
      <xdr:row>26</xdr:row>
      <xdr:rowOff>1402261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2244" y="3573456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795618</xdr:colOff>
      <xdr:row>26</xdr:row>
      <xdr:rowOff>555923</xdr:rowOff>
    </xdr:from>
    <xdr:to>
      <xdr:col>3</xdr:col>
      <xdr:colOff>1166069</xdr:colOff>
      <xdr:row>26</xdr:row>
      <xdr:rowOff>1411941</xdr:rowOff>
    </xdr:to>
    <xdr:cxnSp macro="">
      <xdr:nvCxnSpPr>
        <xdr:cNvPr id="45" name="Прямая со стрелкой 4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38668" y="34960223"/>
          <a:ext cx="370451" cy="856018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781160</xdr:colOff>
      <xdr:row>27</xdr:row>
      <xdr:rowOff>112059</xdr:rowOff>
    </xdr:from>
    <xdr:to>
      <xdr:col>3</xdr:col>
      <xdr:colOff>781160</xdr:colOff>
      <xdr:row>27</xdr:row>
      <xdr:rowOff>1403987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4210" y="36040359"/>
          <a:ext cx="0" cy="129192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740167</xdr:colOff>
      <xdr:row>27</xdr:row>
      <xdr:rowOff>1386290</xdr:rowOff>
    </xdr:from>
    <xdr:to>
      <xdr:col>3</xdr:col>
      <xdr:colOff>812167</xdr:colOff>
      <xdr:row>27</xdr:row>
      <xdr:rowOff>1458290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3217" y="3731459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123264</xdr:colOff>
      <xdr:row>27</xdr:row>
      <xdr:rowOff>771189</xdr:rowOff>
    </xdr:from>
    <xdr:to>
      <xdr:col>3</xdr:col>
      <xdr:colOff>779203</xdr:colOff>
      <xdr:row>27</xdr:row>
      <xdr:rowOff>829235</xdr:rowOff>
    </xdr:to>
    <xdr:cxnSp macro="">
      <xdr:nvCxnSpPr>
        <xdr:cNvPr id="48" name="Прямая со стрелкой 4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66314" y="36699489"/>
          <a:ext cx="655939" cy="58046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776236</xdr:colOff>
      <xdr:row>28</xdr:row>
      <xdr:rowOff>92048</xdr:rowOff>
    </xdr:from>
    <xdr:to>
      <xdr:col>3</xdr:col>
      <xdr:colOff>776236</xdr:colOff>
      <xdr:row>28</xdr:row>
      <xdr:rowOff>1381588</xdr:rowOff>
    </xdr:to>
    <xdr:cxnSp macro="">
      <xdr:nvCxnSpPr>
        <xdr:cNvPr id="49" name="Прямая со стрелкой 4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9286" y="37544348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735243</xdr:colOff>
      <xdr:row>28</xdr:row>
      <xdr:rowOff>1363892</xdr:rowOff>
    </xdr:from>
    <xdr:to>
      <xdr:col>3</xdr:col>
      <xdr:colOff>807243</xdr:colOff>
      <xdr:row>28</xdr:row>
      <xdr:rowOff>1435892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8293" y="388161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961126</xdr:colOff>
      <xdr:row>28</xdr:row>
      <xdr:rowOff>741997</xdr:rowOff>
    </xdr:from>
    <xdr:to>
      <xdr:col>3</xdr:col>
      <xdr:colOff>1033126</xdr:colOff>
      <xdr:row>28</xdr:row>
      <xdr:rowOff>813997</xdr:rowOff>
    </xdr:to>
    <xdr:sp macro="" textlink="">
      <xdr:nvSpPr>
        <xdr:cNvPr id="51" name="5-конечная звезда 5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04176" y="3819429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526682</xdr:colOff>
      <xdr:row>28</xdr:row>
      <xdr:rowOff>749324</xdr:rowOff>
    </xdr:from>
    <xdr:to>
      <xdr:col>3</xdr:col>
      <xdr:colOff>598682</xdr:colOff>
      <xdr:row>28</xdr:row>
      <xdr:rowOff>821324</xdr:rowOff>
    </xdr:to>
    <xdr:sp macro="" textlink="">
      <xdr:nvSpPr>
        <xdr:cNvPr id="52" name="5-конечная звезда 51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69732" y="3820162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798635</xdr:colOff>
      <xdr:row>10</xdr:row>
      <xdr:rowOff>983398</xdr:rowOff>
    </xdr:from>
    <xdr:to>
      <xdr:col>3</xdr:col>
      <xdr:colOff>798853</xdr:colOff>
      <xdr:row>10</xdr:row>
      <xdr:rowOff>1353034</xdr:rowOff>
    </xdr:to>
    <xdr:cxnSp macro="">
      <xdr:nvCxnSpPr>
        <xdr:cNvPr id="53" name="Прямая со стрелкой 5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>
          <a:stCxn id="82" idx="0"/>
        </xdr:cNvCxnSpPr>
      </xdr:nvCxnSpPr>
      <xdr:spPr>
        <a:xfrm>
          <a:off x="2341685" y="11003698"/>
          <a:ext cx="218" cy="369636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10</xdr:row>
      <xdr:rowOff>1348120</xdr:rowOff>
    </xdr:from>
    <xdr:to>
      <xdr:col>3</xdr:col>
      <xdr:colOff>828620</xdr:colOff>
      <xdr:row>10</xdr:row>
      <xdr:rowOff>1420120</xdr:rowOff>
    </xdr:to>
    <xdr:sp macro="" textlink="">
      <xdr:nvSpPr>
        <xdr:cNvPr id="54" name="Овал 53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9670" y="1136842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768834</xdr:colOff>
      <xdr:row>18</xdr:row>
      <xdr:rowOff>105877</xdr:rowOff>
    </xdr:from>
    <xdr:to>
      <xdr:col>3</xdr:col>
      <xdr:colOff>768834</xdr:colOff>
      <xdr:row>18</xdr:row>
      <xdr:rowOff>1397805</xdr:rowOff>
    </xdr:to>
    <xdr:cxnSp macro="">
      <xdr:nvCxnSpPr>
        <xdr:cNvPr id="59" name="Прямая со стрелкой 5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1884" y="22318177"/>
          <a:ext cx="0" cy="129192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727841</xdr:colOff>
      <xdr:row>18</xdr:row>
      <xdr:rowOff>1380108</xdr:rowOff>
    </xdr:from>
    <xdr:to>
      <xdr:col>3</xdr:col>
      <xdr:colOff>799841</xdr:colOff>
      <xdr:row>18</xdr:row>
      <xdr:rowOff>1452108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0891" y="2359240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766875</xdr:colOff>
      <xdr:row>18</xdr:row>
      <xdr:rowOff>650444</xdr:rowOff>
    </xdr:from>
    <xdr:to>
      <xdr:col>3</xdr:col>
      <xdr:colOff>1516117</xdr:colOff>
      <xdr:row>18</xdr:row>
      <xdr:rowOff>765006</xdr:rowOff>
    </xdr:to>
    <xdr:cxnSp macro="">
      <xdr:nvCxnSpPr>
        <xdr:cNvPr id="61" name="Прямая со стрелкой 6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09925" y="22862744"/>
          <a:ext cx="749242" cy="11456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778359</xdr:colOff>
      <xdr:row>19</xdr:row>
      <xdr:rowOff>110359</xdr:rowOff>
    </xdr:from>
    <xdr:to>
      <xdr:col>3</xdr:col>
      <xdr:colOff>778359</xdr:colOff>
      <xdr:row>19</xdr:row>
      <xdr:rowOff>1402287</xdr:rowOff>
    </xdr:to>
    <xdr:cxnSp macro="">
      <xdr:nvCxnSpPr>
        <xdr:cNvPr id="62" name="Прямая со стрелкой 6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1409" y="23846659"/>
          <a:ext cx="0" cy="129192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737366</xdr:colOff>
      <xdr:row>19</xdr:row>
      <xdr:rowOff>1384590</xdr:rowOff>
    </xdr:from>
    <xdr:to>
      <xdr:col>3</xdr:col>
      <xdr:colOff>809366</xdr:colOff>
      <xdr:row>19</xdr:row>
      <xdr:rowOff>1456590</xdr:rowOff>
    </xdr:to>
    <xdr:sp macro="" textlink="">
      <xdr:nvSpPr>
        <xdr:cNvPr id="63" name="Овал 6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0416" y="2512089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142875</xdr:colOff>
      <xdr:row>19</xdr:row>
      <xdr:rowOff>752475</xdr:rowOff>
    </xdr:from>
    <xdr:to>
      <xdr:col>3</xdr:col>
      <xdr:colOff>776400</xdr:colOff>
      <xdr:row>19</xdr:row>
      <xdr:rowOff>769488</xdr:rowOff>
    </xdr:to>
    <xdr:cxnSp macro="">
      <xdr:nvCxnSpPr>
        <xdr:cNvPr id="64" name="Прямая со стрелкой 6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 flipV="1">
          <a:off x="1685925" y="24488775"/>
          <a:ext cx="633525" cy="17013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780040</xdr:colOff>
      <xdr:row>20</xdr:row>
      <xdr:rowOff>131736</xdr:rowOff>
    </xdr:from>
    <xdr:to>
      <xdr:col>3</xdr:col>
      <xdr:colOff>780040</xdr:colOff>
      <xdr:row>20</xdr:row>
      <xdr:rowOff>1423664</xdr:rowOff>
    </xdr:to>
    <xdr:cxnSp macro="">
      <xdr:nvCxnSpPr>
        <xdr:cNvPr id="65" name="Прямая со стрелкой 6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3090" y="25392036"/>
          <a:ext cx="0" cy="1291928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135764</xdr:colOff>
      <xdr:row>20</xdr:row>
      <xdr:rowOff>790865</xdr:rowOff>
    </xdr:from>
    <xdr:to>
      <xdr:col>3</xdr:col>
      <xdr:colOff>778081</xdr:colOff>
      <xdr:row>20</xdr:row>
      <xdr:rowOff>872765</xdr:rowOff>
    </xdr:to>
    <xdr:cxnSp macro="">
      <xdr:nvCxnSpPr>
        <xdr:cNvPr id="66" name="Прямая со стрелкой 6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78814" y="26051165"/>
          <a:ext cx="642317" cy="81900"/>
        </a:xfrm>
        <a:prstGeom prst="straightConnector1">
          <a:avLst/>
        </a:prstGeom>
        <a:ln w="19050">
          <a:prstDash val="sysDot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748572</xdr:colOff>
      <xdr:row>20</xdr:row>
      <xdr:rowOff>1378124</xdr:rowOff>
    </xdr:from>
    <xdr:to>
      <xdr:col>3</xdr:col>
      <xdr:colOff>820572</xdr:colOff>
      <xdr:row>20</xdr:row>
      <xdr:rowOff>1450124</xdr:rowOff>
    </xdr:to>
    <xdr:sp macro="" textlink="">
      <xdr:nvSpPr>
        <xdr:cNvPr id="67" name="Овал 6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1622" y="2663842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800414</xdr:colOff>
      <xdr:row>21</xdr:row>
      <xdr:rowOff>100853</xdr:rowOff>
    </xdr:from>
    <xdr:to>
      <xdr:col>3</xdr:col>
      <xdr:colOff>800414</xdr:colOff>
      <xdr:row>21</xdr:row>
      <xdr:rowOff>1390393</xdr:rowOff>
    </xdr:to>
    <xdr:cxnSp macro="">
      <xdr:nvCxnSpPr>
        <xdr:cNvPr id="68" name="Прямая со стрелкой 6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464" y="26885153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759421</xdr:colOff>
      <xdr:row>21</xdr:row>
      <xdr:rowOff>1372697</xdr:rowOff>
    </xdr:from>
    <xdr:to>
      <xdr:col>3</xdr:col>
      <xdr:colOff>831421</xdr:colOff>
      <xdr:row>21</xdr:row>
      <xdr:rowOff>1444697</xdr:rowOff>
    </xdr:to>
    <xdr:sp macro="" textlink="">
      <xdr:nvSpPr>
        <xdr:cNvPr id="69" name="Овал 6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2815699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974093</xdr:colOff>
      <xdr:row>21</xdr:row>
      <xdr:rowOff>739096</xdr:rowOff>
    </xdr:from>
    <xdr:to>
      <xdr:col>3</xdr:col>
      <xdr:colOff>1046093</xdr:colOff>
      <xdr:row>21</xdr:row>
      <xdr:rowOff>811096</xdr:rowOff>
    </xdr:to>
    <xdr:sp macro="" textlink="">
      <xdr:nvSpPr>
        <xdr:cNvPr id="70" name="5-конечная звезда 6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7143" y="275233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539649</xdr:colOff>
      <xdr:row>21</xdr:row>
      <xdr:rowOff>746423</xdr:rowOff>
    </xdr:from>
    <xdr:to>
      <xdr:col>3</xdr:col>
      <xdr:colOff>611649</xdr:colOff>
      <xdr:row>21</xdr:row>
      <xdr:rowOff>818423</xdr:rowOff>
    </xdr:to>
    <xdr:sp macro="" textlink="">
      <xdr:nvSpPr>
        <xdr:cNvPr id="71" name="5-конечная звезда 70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2699" y="2753072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962988</xdr:colOff>
      <xdr:row>21</xdr:row>
      <xdr:rowOff>81962</xdr:rowOff>
    </xdr:from>
    <xdr:ext cx="614775" cy="609653"/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188" y="26866262"/>
          <a:ext cx="614775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798853</xdr:colOff>
      <xdr:row>12</xdr:row>
      <xdr:rowOff>63193</xdr:rowOff>
    </xdr:from>
    <xdr:to>
      <xdr:col>3</xdr:col>
      <xdr:colOff>798853</xdr:colOff>
      <xdr:row>12</xdr:row>
      <xdr:rowOff>1389125</xdr:rowOff>
    </xdr:to>
    <xdr:cxnSp macro="">
      <xdr:nvCxnSpPr>
        <xdr:cNvPr id="74" name="Прямая со стрелкой 7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1903" y="13131493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12</xdr:row>
      <xdr:rowOff>1359362</xdr:rowOff>
    </xdr:from>
    <xdr:to>
      <xdr:col>3</xdr:col>
      <xdr:colOff>828620</xdr:colOff>
      <xdr:row>12</xdr:row>
      <xdr:rowOff>1431362</xdr:rowOff>
    </xdr:to>
    <xdr:sp macro="" textlink="">
      <xdr:nvSpPr>
        <xdr:cNvPr id="75" name="Овал 7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9670" y="1442766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1157654</xdr:colOff>
      <xdr:row>28</xdr:row>
      <xdr:rowOff>776654</xdr:rowOff>
    </xdr:from>
    <xdr:to>
      <xdr:col>3</xdr:col>
      <xdr:colOff>1157654</xdr:colOff>
      <xdr:row>28</xdr:row>
      <xdr:rowOff>776654</xdr:rowOff>
    </xdr:to>
    <xdr:cxnSp macro="">
      <xdr:nvCxnSpPr>
        <xdr:cNvPr id="76" name="Прямая соединительная линия 75"/>
        <xdr:cNvCxnSpPr/>
      </xdr:nvCxnSpPr>
      <xdr:spPr>
        <a:xfrm>
          <a:off x="2700704" y="38228954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904875</xdr:colOff>
      <xdr:row>28</xdr:row>
      <xdr:rowOff>143566</xdr:rowOff>
    </xdr:from>
    <xdr:ext cx="609653" cy="609653"/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37595866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1157654</xdr:colOff>
      <xdr:row>28</xdr:row>
      <xdr:rowOff>835270</xdr:rowOff>
    </xdr:from>
    <xdr:to>
      <xdr:col>3</xdr:col>
      <xdr:colOff>1519604</xdr:colOff>
      <xdr:row>28</xdr:row>
      <xdr:rowOff>1066251</xdr:rowOff>
    </xdr:to>
    <xdr:grpSp>
      <xdr:nvGrpSpPr>
        <xdr:cNvPr id="78" name="Группа 77"/>
        <xdr:cNvGrpSpPr/>
      </xdr:nvGrpSpPr>
      <xdr:grpSpPr>
        <a:xfrm>
          <a:off x="2696308" y="38290501"/>
          <a:ext cx="361950" cy="230981"/>
          <a:chOff x="2631156" y="1513048"/>
          <a:chExt cx="361950" cy="230981"/>
        </a:xfrm>
      </xdr:grpSpPr>
      <xdr:sp macro="" textlink="">
        <xdr:nvSpPr>
          <xdr:cNvPr id="79" name="Полилиния 78"/>
          <xdr:cNvSpPr/>
        </xdr:nvSpPr>
        <xdr:spPr>
          <a:xfrm>
            <a:off x="2631156" y="1513048"/>
            <a:ext cx="361950" cy="230981"/>
          </a:xfrm>
          <a:custGeom>
            <a:avLst/>
            <a:gdLst>
              <a:gd name="connsiteX0" fmla="*/ 0 w 361950"/>
              <a:gd name="connsiteY0" fmla="*/ 0 h 230981"/>
              <a:gd name="connsiteX1" fmla="*/ 361950 w 361950"/>
              <a:gd name="connsiteY1" fmla="*/ 0 h 230981"/>
              <a:gd name="connsiteX2" fmla="*/ 361950 w 361950"/>
              <a:gd name="connsiteY2" fmla="*/ 230981 h 230981"/>
              <a:gd name="connsiteX3" fmla="*/ 2382 w 361950"/>
              <a:gd name="connsiteY3" fmla="*/ 230981 h 230981"/>
              <a:gd name="connsiteX4" fmla="*/ 0 w 361950"/>
              <a:gd name="connsiteY4" fmla="*/ 0 h 23098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61950" h="230981">
                <a:moveTo>
                  <a:pt x="0" y="0"/>
                </a:moveTo>
                <a:lnTo>
                  <a:pt x="361950" y="0"/>
                </a:lnTo>
                <a:lnTo>
                  <a:pt x="361950" y="230981"/>
                </a:lnTo>
                <a:lnTo>
                  <a:pt x="2382" y="230981"/>
                </a:lnTo>
                <a:lnTo>
                  <a:pt x="0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</a:schemeClr>
          </a:solidFill>
          <a:ln w="19050">
            <a:solidFill>
              <a:srgbClr val="FF0000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80" name="Прямая соединительная линия 79"/>
          <xdr:cNvCxnSpPr>
            <a:stCxn id="79" idx="0"/>
            <a:endCxn id="79" idx="2"/>
          </xdr:cNvCxnSpPr>
        </xdr:nvCxnSpPr>
        <xdr:spPr>
          <a:xfrm>
            <a:off x="2631156" y="1513048"/>
            <a:ext cx="361950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1" name="Прямая соединительная линия 80"/>
          <xdr:cNvCxnSpPr>
            <a:stCxn id="79" idx="1"/>
            <a:endCxn id="79" idx="3"/>
          </xdr:cNvCxnSpPr>
        </xdr:nvCxnSpPr>
        <xdr:spPr>
          <a:xfrm flipH="1">
            <a:off x="2633538" y="1513048"/>
            <a:ext cx="359568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278423</xdr:colOff>
      <xdr:row>10</xdr:row>
      <xdr:rowOff>492259</xdr:rowOff>
    </xdr:from>
    <xdr:to>
      <xdr:col>3</xdr:col>
      <xdr:colOff>798635</xdr:colOff>
      <xdr:row>10</xdr:row>
      <xdr:rowOff>983398</xdr:rowOff>
    </xdr:to>
    <xdr:sp macro="" textlink="">
      <xdr:nvSpPr>
        <xdr:cNvPr id="82" name="Полилиния 81"/>
        <xdr:cNvSpPr/>
      </xdr:nvSpPr>
      <xdr:spPr>
        <a:xfrm>
          <a:off x="1821473" y="10512559"/>
          <a:ext cx="520212" cy="491139"/>
        </a:xfrm>
        <a:custGeom>
          <a:avLst/>
          <a:gdLst>
            <a:gd name="connsiteX0" fmla="*/ 520212 w 520212"/>
            <a:gd name="connsiteY0" fmla="*/ 491139 h 491139"/>
            <a:gd name="connsiteX1" fmla="*/ 461596 w 520212"/>
            <a:gd name="connsiteY1" fmla="*/ 256677 h 491139"/>
            <a:gd name="connsiteX2" fmla="*/ 263769 w 520212"/>
            <a:gd name="connsiteY2" fmla="*/ 95485 h 491139"/>
            <a:gd name="connsiteX3" fmla="*/ 73269 w 520212"/>
            <a:gd name="connsiteY3" fmla="*/ 14889 h 491139"/>
            <a:gd name="connsiteX4" fmla="*/ 0 w 520212"/>
            <a:gd name="connsiteY4" fmla="*/ 235 h 4911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20212" h="491139">
              <a:moveTo>
                <a:pt x="520212" y="491139"/>
              </a:moveTo>
              <a:cubicBezTo>
                <a:pt x="512274" y="406879"/>
                <a:pt x="504336" y="322619"/>
                <a:pt x="461596" y="256677"/>
              </a:cubicBezTo>
              <a:cubicBezTo>
                <a:pt x="418855" y="190735"/>
                <a:pt x="328490" y="135783"/>
                <a:pt x="263769" y="95485"/>
              </a:cubicBezTo>
              <a:cubicBezTo>
                <a:pt x="199048" y="55187"/>
                <a:pt x="117230" y="30764"/>
                <a:pt x="73269" y="14889"/>
              </a:cubicBezTo>
              <a:cubicBezTo>
                <a:pt x="29307" y="-986"/>
                <a:pt x="14653" y="-376"/>
                <a:pt x="0" y="235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752088</xdr:colOff>
      <xdr:row>11</xdr:row>
      <xdr:rowOff>647700</xdr:rowOff>
    </xdr:from>
    <xdr:to>
      <xdr:col>3</xdr:col>
      <xdr:colOff>752088</xdr:colOff>
      <xdr:row>11</xdr:row>
      <xdr:rowOff>1372689</xdr:rowOff>
    </xdr:to>
    <xdr:cxnSp macro="">
      <xdr:nvCxnSpPr>
        <xdr:cNvPr id="83" name="Прямая со стрелкой 8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95138" y="12192000"/>
          <a:ext cx="0" cy="724989"/>
        </a:xfrm>
        <a:prstGeom prst="straightConnector1">
          <a:avLst/>
        </a:prstGeom>
        <a:ln w="1905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711095</xdr:colOff>
      <xdr:row>11</xdr:row>
      <xdr:rowOff>1354993</xdr:rowOff>
    </xdr:from>
    <xdr:to>
      <xdr:col>3</xdr:col>
      <xdr:colOff>783095</xdr:colOff>
      <xdr:row>11</xdr:row>
      <xdr:rowOff>1426993</xdr:rowOff>
    </xdr:to>
    <xdr:sp macro="" textlink="">
      <xdr:nvSpPr>
        <xdr:cNvPr id="84" name="Овал 8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54145" y="12899293"/>
          <a:ext cx="72000" cy="72000"/>
        </a:xfrm>
        <a:prstGeom prst="ellipse">
          <a:avLst/>
        </a:prstGeom>
        <a:solidFill>
          <a:schemeClr val="tx1"/>
        </a:solidFill>
        <a:ln w="19050">
          <a:headEnd type="triangle"/>
          <a:tailEnd type="none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495300</xdr:colOff>
      <xdr:row>11</xdr:row>
      <xdr:rowOff>47625</xdr:rowOff>
    </xdr:from>
    <xdr:to>
      <xdr:col>3</xdr:col>
      <xdr:colOff>952502</xdr:colOff>
      <xdr:row>11</xdr:row>
      <xdr:rowOff>1428750</xdr:rowOff>
    </xdr:to>
    <xdr:cxnSp macro="">
      <xdr:nvCxnSpPr>
        <xdr:cNvPr id="85" name="Прямая со стрелкой 8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2038350" y="11591925"/>
          <a:ext cx="457202" cy="1381125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676994</xdr:colOff>
      <xdr:row>10</xdr:row>
      <xdr:rowOff>124239</xdr:rowOff>
    </xdr:from>
    <xdr:to>
      <xdr:col>3</xdr:col>
      <xdr:colOff>798635</xdr:colOff>
      <xdr:row>10</xdr:row>
      <xdr:rowOff>983398</xdr:rowOff>
    </xdr:to>
    <xdr:cxnSp macro="">
      <xdr:nvCxnSpPr>
        <xdr:cNvPr id="86" name="Прямая со стрелкой 8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>
          <a:endCxn id="82" idx="0"/>
        </xdr:cNvCxnSpPr>
      </xdr:nvCxnSpPr>
      <xdr:spPr>
        <a:xfrm>
          <a:off x="2220044" y="10144539"/>
          <a:ext cx="121641" cy="859159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779859</xdr:colOff>
      <xdr:row>10</xdr:row>
      <xdr:rowOff>863203</xdr:rowOff>
    </xdr:from>
    <xdr:to>
      <xdr:col>3</xdr:col>
      <xdr:colOff>958453</xdr:colOff>
      <xdr:row>10</xdr:row>
      <xdr:rowOff>1387078</xdr:rowOff>
    </xdr:to>
    <xdr:sp macro="" textlink="">
      <xdr:nvSpPr>
        <xdr:cNvPr id="87" name="Полилиния 86"/>
        <xdr:cNvSpPr/>
      </xdr:nvSpPr>
      <xdr:spPr>
        <a:xfrm>
          <a:off x="2322909" y="10883503"/>
          <a:ext cx="178594" cy="523875"/>
        </a:xfrm>
        <a:custGeom>
          <a:avLst/>
          <a:gdLst>
            <a:gd name="connsiteX0" fmla="*/ 0 w 178594"/>
            <a:gd name="connsiteY0" fmla="*/ 0 h 523875"/>
            <a:gd name="connsiteX1" fmla="*/ 59531 w 178594"/>
            <a:gd name="connsiteY1" fmla="*/ 267890 h 523875"/>
            <a:gd name="connsiteX2" fmla="*/ 130969 w 178594"/>
            <a:gd name="connsiteY2" fmla="*/ 464343 h 523875"/>
            <a:gd name="connsiteX3" fmla="*/ 178594 w 178594"/>
            <a:gd name="connsiteY3" fmla="*/ 523875 h 523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78594" h="523875">
              <a:moveTo>
                <a:pt x="0" y="0"/>
              </a:moveTo>
              <a:cubicBezTo>
                <a:pt x="18851" y="95250"/>
                <a:pt x="37703" y="190500"/>
                <a:pt x="59531" y="267890"/>
              </a:cubicBezTo>
              <a:cubicBezTo>
                <a:pt x="81359" y="345280"/>
                <a:pt x="111125" y="421679"/>
                <a:pt x="130969" y="464343"/>
              </a:cubicBezTo>
              <a:cubicBezTo>
                <a:pt x="150813" y="507007"/>
                <a:pt x="168672" y="513953"/>
                <a:pt x="178594" y="523875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1170215</xdr:colOff>
      <xdr:row>12</xdr:row>
      <xdr:rowOff>763362</xdr:rowOff>
    </xdr:from>
    <xdr:to>
      <xdr:col>3</xdr:col>
      <xdr:colOff>1504950</xdr:colOff>
      <xdr:row>12</xdr:row>
      <xdr:rowOff>763362</xdr:rowOff>
    </xdr:to>
    <xdr:cxnSp macro="">
      <xdr:nvCxnSpPr>
        <xdr:cNvPr id="88" name="Прямая соединительная линия 87"/>
        <xdr:cNvCxnSpPr/>
      </xdr:nvCxnSpPr>
      <xdr:spPr>
        <a:xfrm flipH="1">
          <a:off x="2713265" y="13831662"/>
          <a:ext cx="334735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122465</xdr:colOff>
      <xdr:row>12</xdr:row>
      <xdr:rowOff>763362</xdr:rowOff>
    </xdr:from>
    <xdr:to>
      <xdr:col>3</xdr:col>
      <xdr:colOff>1190625</xdr:colOff>
      <xdr:row>12</xdr:row>
      <xdr:rowOff>763362</xdr:rowOff>
    </xdr:to>
    <xdr:cxnSp macro="">
      <xdr:nvCxnSpPr>
        <xdr:cNvPr id="89" name="Прямая соединительная линия 88"/>
        <xdr:cNvCxnSpPr/>
      </xdr:nvCxnSpPr>
      <xdr:spPr>
        <a:xfrm flipH="1">
          <a:off x="1665515" y="13831662"/>
          <a:ext cx="106816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800592</xdr:colOff>
      <xdr:row>14</xdr:row>
      <xdr:rowOff>678922</xdr:rowOff>
    </xdr:from>
    <xdr:to>
      <xdr:col>3</xdr:col>
      <xdr:colOff>800592</xdr:colOff>
      <xdr:row>14</xdr:row>
      <xdr:rowOff>998483</xdr:rowOff>
    </xdr:to>
    <xdr:cxnSp macro="">
      <xdr:nvCxnSpPr>
        <xdr:cNvPr id="90" name="Прямая со стрелкой 8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642" y="16795222"/>
          <a:ext cx="0" cy="31956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885019</xdr:colOff>
      <xdr:row>18</xdr:row>
      <xdr:rowOff>880875</xdr:rowOff>
    </xdr:from>
    <xdr:to>
      <xdr:col>3</xdr:col>
      <xdr:colOff>957019</xdr:colOff>
      <xdr:row>18</xdr:row>
      <xdr:rowOff>952875</xdr:rowOff>
    </xdr:to>
    <xdr:sp macro="" textlink="">
      <xdr:nvSpPr>
        <xdr:cNvPr id="91" name="5-конечная звезда 9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28069" y="230931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223483</xdr:colOff>
      <xdr:row>18</xdr:row>
      <xdr:rowOff>463841</xdr:rowOff>
    </xdr:from>
    <xdr:to>
      <xdr:col>5</xdr:col>
      <xdr:colOff>381326</xdr:colOff>
      <xdr:row>18</xdr:row>
      <xdr:rowOff>650573</xdr:rowOff>
    </xdr:to>
    <xdr:sp macro="" textlink="">
      <xdr:nvSpPr>
        <xdr:cNvPr id="92" name="Стрелка вправо 91"/>
        <xdr:cNvSpPr/>
      </xdr:nvSpPr>
      <xdr:spPr>
        <a:xfrm>
          <a:off x="4728808" y="22676141"/>
          <a:ext cx="157843" cy="186732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523338</xdr:colOff>
      <xdr:row>18</xdr:row>
      <xdr:rowOff>435089</xdr:rowOff>
    </xdr:from>
    <xdr:to>
      <xdr:col>4</xdr:col>
      <xdr:colOff>1313458</xdr:colOff>
      <xdr:row>18</xdr:row>
      <xdr:rowOff>672142</xdr:rowOff>
    </xdr:to>
    <xdr:sp macro="" textlink="">
      <xdr:nvSpPr>
        <xdr:cNvPr id="93" name="Прямоугольник 92"/>
        <xdr:cNvSpPr/>
      </xdr:nvSpPr>
      <xdr:spPr>
        <a:xfrm>
          <a:off x="3647538" y="22647389"/>
          <a:ext cx="790120" cy="237053"/>
        </a:xfrm>
        <a:prstGeom prst="rect">
          <a:avLst/>
        </a:prstGeom>
        <a:solidFill>
          <a:srgbClr val="0070C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chemeClr val="bg1"/>
              </a:solidFill>
            </a:rPr>
            <a:t>???</a:t>
          </a:r>
        </a:p>
      </xdr:txBody>
    </xdr:sp>
    <xdr:clientData/>
  </xdr:twoCellAnchor>
  <xdr:twoCellAnchor>
    <xdr:from>
      <xdr:col>4</xdr:col>
      <xdr:colOff>1043409</xdr:colOff>
      <xdr:row>18</xdr:row>
      <xdr:rowOff>438376</xdr:rowOff>
    </xdr:from>
    <xdr:to>
      <xdr:col>5</xdr:col>
      <xdr:colOff>451043</xdr:colOff>
      <xdr:row>18</xdr:row>
      <xdr:rowOff>675429</xdr:rowOff>
    </xdr:to>
    <xdr:sp macro="" textlink="">
      <xdr:nvSpPr>
        <xdr:cNvPr id="94" name="Прямоугольник 93"/>
        <xdr:cNvSpPr/>
      </xdr:nvSpPr>
      <xdr:spPr>
        <a:xfrm>
          <a:off x="4167609" y="22650676"/>
          <a:ext cx="788759" cy="237053"/>
        </a:xfrm>
        <a:prstGeom prst="rect">
          <a:avLst/>
        </a:prstGeom>
        <a:noFill/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8</a:t>
          </a:r>
        </a:p>
      </xdr:txBody>
    </xdr:sp>
    <xdr:clientData/>
  </xdr:twoCellAnchor>
  <xdr:twoCellAnchor>
    <xdr:from>
      <xdr:col>3</xdr:col>
      <xdr:colOff>954834</xdr:colOff>
      <xdr:row>19</xdr:row>
      <xdr:rowOff>850281</xdr:rowOff>
    </xdr:from>
    <xdr:to>
      <xdr:col>3</xdr:col>
      <xdr:colOff>1026834</xdr:colOff>
      <xdr:row>19</xdr:row>
      <xdr:rowOff>922281</xdr:rowOff>
    </xdr:to>
    <xdr:sp macro="" textlink="">
      <xdr:nvSpPr>
        <xdr:cNvPr id="95" name="5-конечная звезда 9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97884" y="24586581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520390</xdr:colOff>
      <xdr:row>19</xdr:row>
      <xdr:rowOff>857608</xdr:rowOff>
    </xdr:from>
    <xdr:to>
      <xdr:col>3</xdr:col>
      <xdr:colOff>592390</xdr:colOff>
      <xdr:row>19</xdr:row>
      <xdr:rowOff>929608</xdr:rowOff>
    </xdr:to>
    <xdr:sp macro="" textlink="">
      <xdr:nvSpPr>
        <xdr:cNvPr id="96" name="5-конечная звезда 95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63440" y="2459390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486537</xdr:colOff>
      <xdr:row>19</xdr:row>
      <xdr:rowOff>394138</xdr:rowOff>
    </xdr:from>
    <xdr:to>
      <xdr:col>4</xdr:col>
      <xdr:colOff>883688</xdr:colOff>
      <xdr:row>19</xdr:row>
      <xdr:rowOff>791318</xdr:rowOff>
    </xdr:to>
    <xdr:pic>
      <xdr:nvPicPr>
        <xdr:cNvPr id="97" name="Рисунок 96" descr="Картинки по запросу знак жд переезд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0737" y="24130438"/>
          <a:ext cx="397151" cy="3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464540</xdr:colOff>
      <xdr:row>19</xdr:row>
      <xdr:rowOff>771084</xdr:rowOff>
    </xdr:from>
    <xdr:to>
      <xdr:col>4</xdr:col>
      <xdr:colOff>875791</xdr:colOff>
      <xdr:row>19</xdr:row>
      <xdr:rowOff>1137409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 flipV="1">
          <a:off x="3588740" y="24507384"/>
          <a:ext cx="411251" cy="366325"/>
        </a:xfrm>
        <a:prstGeom prst="rect">
          <a:avLst/>
        </a:prstGeom>
      </xdr:spPr>
    </xdr:pic>
    <xdr:clientData/>
  </xdr:twoCellAnchor>
  <xdr:twoCellAnchor editAs="oneCell">
    <xdr:from>
      <xdr:col>5</xdr:col>
      <xdr:colOff>224795</xdr:colOff>
      <xdr:row>19</xdr:row>
      <xdr:rowOff>394138</xdr:rowOff>
    </xdr:from>
    <xdr:to>
      <xdr:col>5</xdr:col>
      <xdr:colOff>621946</xdr:colOff>
      <xdr:row>19</xdr:row>
      <xdr:rowOff>791318</xdr:rowOff>
    </xdr:to>
    <xdr:pic>
      <xdr:nvPicPr>
        <xdr:cNvPr id="99" name="Рисунок 98" descr="Картинки по запросу знак жд переезд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120" y="24130438"/>
          <a:ext cx="397151" cy="3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202798</xdr:colOff>
      <xdr:row>19</xdr:row>
      <xdr:rowOff>771084</xdr:rowOff>
    </xdr:from>
    <xdr:to>
      <xdr:col>5</xdr:col>
      <xdr:colOff>614049</xdr:colOff>
      <xdr:row>19</xdr:row>
      <xdr:rowOff>1137409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 flipV="1">
          <a:off x="4708123" y="24507384"/>
          <a:ext cx="411251" cy="366325"/>
        </a:xfrm>
        <a:prstGeom prst="rect">
          <a:avLst/>
        </a:prstGeom>
      </xdr:spPr>
    </xdr:pic>
    <xdr:clientData/>
  </xdr:twoCellAnchor>
  <xdr:twoCellAnchor>
    <xdr:from>
      <xdr:col>3</xdr:col>
      <xdr:colOff>798647</xdr:colOff>
      <xdr:row>22</xdr:row>
      <xdr:rowOff>97332</xdr:rowOff>
    </xdr:from>
    <xdr:to>
      <xdr:col>3</xdr:col>
      <xdr:colOff>798647</xdr:colOff>
      <xdr:row>22</xdr:row>
      <xdr:rowOff>1386872</xdr:rowOff>
    </xdr:to>
    <xdr:cxnSp macro="">
      <xdr:nvCxnSpPr>
        <xdr:cNvPr id="101" name="Прямая со стрелкой 10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697" y="28405632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757654</xdr:colOff>
      <xdr:row>22</xdr:row>
      <xdr:rowOff>1369176</xdr:rowOff>
    </xdr:from>
    <xdr:to>
      <xdr:col>3</xdr:col>
      <xdr:colOff>829654</xdr:colOff>
      <xdr:row>22</xdr:row>
      <xdr:rowOff>1441176</xdr:rowOff>
    </xdr:to>
    <xdr:sp macro="" textlink="">
      <xdr:nvSpPr>
        <xdr:cNvPr id="102" name="Овал 10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0704" y="2967747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838199</xdr:colOff>
      <xdr:row>22</xdr:row>
      <xdr:rowOff>380999</xdr:rowOff>
    </xdr:from>
    <xdr:to>
      <xdr:col>5</xdr:col>
      <xdr:colOff>209549</xdr:colOff>
      <xdr:row>22</xdr:row>
      <xdr:rowOff>1133474</xdr:rowOff>
    </xdr:to>
    <xdr:pic>
      <xdr:nvPicPr>
        <xdr:cNvPr id="103" name="Рисунок 102" descr="Картинки по запросу знак стоп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399" y="28689299"/>
          <a:ext cx="7524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371475</xdr:colOff>
      <xdr:row>22</xdr:row>
      <xdr:rowOff>723900</xdr:rowOff>
    </xdr:from>
    <xdr:to>
      <xdr:col>3</xdr:col>
      <xdr:colOff>1233713</xdr:colOff>
      <xdr:row>22</xdr:row>
      <xdr:rowOff>912692</xdr:rowOff>
    </xdr:to>
    <xdr:grpSp>
      <xdr:nvGrpSpPr>
        <xdr:cNvPr id="104" name="Группа 10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pSpPr/>
      </xdr:nvGrpSpPr>
      <xdr:grpSpPr>
        <a:xfrm rot="5400000">
          <a:off x="2246852" y="28698408"/>
          <a:ext cx="188792" cy="862238"/>
          <a:chOff x="2276355" y="169337185"/>
          <a:chExt cx="182327" cy="1037451"/>
        </a:xfrm>
      </xdr:grpSpPr>
      <xdr:cxnSp macro="">
        <xdr:nvCxnSpPr>
          <xdr:cNvPr id="105" name="Прямая со стрелкой 104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6" name="Прямая со стрелкой 105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7" name="Прямая со стрелкой 106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8" name="Прямая со стрелкой 107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09" name="Прямая со стрелкой 108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0" name="Прямая со стрелкой 109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1" name="Прямая со стрелкой 110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2" name="Прямая со стрелкой 111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3" name="Прямая со стрелкой 112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4" name="Прямая со стрелкой 113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5" name="Прямая со стрелкой 114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6" name="Прямая со стрелкой 115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7" name="Прямая со стрелкой 116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8" name="Прямая со стрелкой 117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9" name="Прямая со стрелкой 118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0" name="Прямая со стрелкой 119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1" name="Прямая со стрелкой 120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22" name="Прямая со стрелкой 121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4</xdr:col>
      <xdr:colOff>928119</xdr:colOff>
      <xdr:row>24</xdr:row>
      <xdr:rowOff>466724</xdr:rowOff>
    </xdr:from>
    <xdr:to>
      <xdr:col>5</xdr:col>
      <xdr:colOff>247650</xdr:colOff>
      <xdr:row>24</xdr:row>
      <xdr:rowOff>1085849</xdr:rowOff>
    </xdr:to>
    <xdr:pic>
      <xdr:nvPicPr>
        <xdr:cNvPr id="123" name="Рисунок 122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319" y="31823024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934226</xdr:colOff>
      <xdr:row>24</xdr:row>
      <xdr:rowOff>938962</xdr:rowOff>
    </xdr:from>
    <xdr:to>
      <xdr:col>3</xdr:col>
      <xdr:colOff>1006226</xdr:colOff>
      <xdr:row>24</xdr:row>
      <xdr:rowOff>1010962</xdr:rowOff>
    </xdr:to>
    <xdr:sp macro="" textlink="">
      <xdr:nvSpPr>
        <xdr:cNvPr id="124" name="5-конечная звезда 12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77276" y="3229526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838976</xdr:colOff>
      <xdr:row>26</xdr:row>
      <xdr:rowOff>910387</xdr:rowOff>
    </xdr:from>
    <xdr:to>
      <xdr:col>3</xdr:col>
      <xdr:colOff>910976</xdr:colOff>
      <xdr:row>26</xdr:row>
      <xdr:rowOff>982387</xdr:rowOff>
    </xdr:to>
    <xdr:sp macro="" textlink="">
      <xdr:nvSpPr>
        <xdr:cNvPr id="125" name="5-конечная звезда 12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382026" y="353146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847725</xdr:colOff>
      <xdr:row>26</xdr:row>
      <xdr:rowOff>477982</xdr:rowOff>
    </xdr:from>
    <xdr:to>
      <xdr:col>5</xdr:col>
      <xdr:colOff>133350</xdr:colOff>
      <xdr:row>26</xdr:row>
      <xdr:rowOff>1144732</xdr:rowOff>
    </xdr:to>
    <xdr:pic>
      <xdr:nvPicPr>
        <xdr:cNvPr id="126" name="Рисунок 125" descr="Картинки по запросу знак главная дорог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34882282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776654</xdr:colOff>
      <xdr:row>28</xdr:row>
      <xdr:rowOff>674076</xdr:rowOff>
    </xdr:from>
    <xdr:to>
      <xdr:col>3</xdr:col>
      <xdr:colOff>1077058</xdr:colOff>
      <xdr:row>28</xdr:row>
      <xdr:rowOff>674076</xdr:rowOff>
    </xdr:to>
    <xdr:cxnSp macro="">
      <xdr:nvCxnSpPr>
        <xdr:cNvPr id="127" name="Прямая соединительная линия 126"/>
        <xdr:cNvCxnSpPr/>
      </xdr:nvCxnSpPr>
      <xdr:spPr>
        <a:xfrm>
          <a:off x="2319704" y="38126376"/>
          <a:ext cx="300404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692540</xdr:colOff>
      <xdr:row>5</xdr:row>
      <xdr:rowOff>40995</xdr:rowOff>
    </xdr:from>
    <xdr:to>
      <xdr:col>3</xdr:col>
      <xdr:colOff>692540</xdr:colOff>
      <xdr:row>5</xdr:row>
      <xdr:rowOff>1366927</xdr:rowOff>
    </xdr:to>
    <xdr:cxnSp macro="">
      <xdr:nvCxnSpPr>
        <xdr:cNvPr id="128" name="Прямая со стрелкой 12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235590" y="2441295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813960</xdr:colOff>
      <xdr:row>5</xdr:row>
      <xdr:rowOff>791421</xdr:rowOff>
    </xdr:from>
    <xdr:to>
      <xdr:col>3</xdr:col>
      <xdr:colOff>1059246</xdr:colOff>
      <xdr:row>5</xdr:row>
      <xdr:rowOff>813955</xdr:rowOff>
    </xdr:to>
    <xdr:cxnSp macro="">
      <xdr:nvCxnSpPr>
        <xdr:cNvPr id="129" name="Прямая со стрелкой 128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>
          <a:off x="2357010" y="3191721"/>
          <a:ext cx="245286" cy="22534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695792</xdr:colOff>
      <xdr:row>5</xdr:row>
      <xdr:rowOff>690444</xdr:rowOff>
    </xdr:from>
    <xdr:to>
      <xdr:col>3</xdr:col>
      <xdr:colOff>856213</xdr:colOff>
      <xdr:row>5</xdr:row>
      <xdr:rowOff>1348539</xdr:rowOff>
    </xdr:to>
    <xdr:sp macro="" textlink="">
      <xdr:nvSpPr>
        <xdr:cNvPr id="130" name="Полилиния 129"/>
        <xdr:cNvSpPr/>
      </xdr:nvSpPr>
      <xdr:spPr>
        <a:xfrm>
          <a:off x="2238842" y="3090744"/>
          <a:ext cx="160421" cy="658095"/>
        </a:xfrm>
        <a:custGeom>
          <a:avLst/>
          <a:gdLst>
            <a:gd name="connsiteX0" fmla="*/ 0 w 175461"/>
            <a:gd name="connsiteY0" fmla="*/ 37137 h 578558"/>
            <a:gd name="connsiteX1" fmla="*/ 115303 w 175461"/>
            <a:gd name="connsiteY1" fmla="*/ 57190 h 578558"/>
            <a:gd name="connsiteX2" fmla="*/ 175461 w 175461"/>
            <a:gd name="connsiteY2" fmla="*/ 578558 h 578558"/>
            <a:gd name="connsiteX0" fmla="*/ 0 w 175461"/>
            <a:gd name="connsiteY0" fmla="*/ 13856 h 555277"/>
            <a:gd name="connsiteX1" fmla="*/ 115303 w 175461"/>
            <a:gd name="connsiteY1" fmla="*/ 33909 h 555277"/>
            <a:gd name="connsiteX2" fmla="*/ 140369 w 175461"/>
            <a:gd name="connsiteY2" fmla="*/ 99080 h 555277"/>
            <a:gd name="connsiteX3" fmla="*/ 175461 w 175461"/>
            <a:gd name="connsiteY3" fmla="*/ 555277 h 555277"/>
            <a:gd name="connsiteX0" fmla="*/ 0 w 160421"/>
            <a:gd name="connsiteY0" fmla="*/ 6010 h 652707"/>
            <a:gd name="connsiteX1" fmla="*/ 100263 w 160421"/>
            <a:gd name="connsiteY1" fmla="*/ 131339 h 652707"/>
            <a:gd name="connsiteX2" fmla="*/ 125329 w 160421"/>
            <a:gd name="connsiteY2" fmla="*/ 196510 h 652707"/>
            <a:gd name="connsiteX3" fmla="*/ 160421 w 160421"/>
            <a:gd name="connsiteY3" fmla="*/ 652707 h 652707"/>
            <a:gd name="connsiteX0" fmla="*/ 0 w 160421"/>
            <a:gd name="connsiteY0" fmla="*/ 11500 h 658197"/>
            <a:gd name="connsiteX1" fmla="*/ 110289 w 160421"/>
            <a:gd name="connsiteY1" fmla="*/ 61632 h 658197"/>
            <a:gd name="connsiteX2" fmla="*/ 125329 w 160421"/>
            <a:gd name="connsiteY2" fmla="*/ 202000 h 658197"/>
            <a:gd name="connsiteX3" fmla="*/ 160421 w 160421"/>
            <a:gd name="connsiteY3" fmla="*/ 658197 h 658197"/>
            <a:gd name="connsiteX0" fmla="*/ 0 w 160421"/>
            <a:gd name="connsiteY0" fmla="*/ 11398 h 658095"/>
            <a:gd name="connsiteX1" fmla="*/ 110289 w 160421"/>
            <a:gd name="connsiteY1" fmla="*/ 61530 h 658095"/>
            <a:gd name="connsiteX2" fmla="*/ 145382 w 160421"/>
            <a:gd name="connsiteY2" fmla="*/ 196885 h 658095"/>
            <a:gd name="connsiteX3" fmla="*/ 160421 w 160421"/>
            <a:gd name="connsiteY3" fmla="*/ 658095 h 658095"/>
            <a:gd name="connsiteX0" fmla="*/ 0 w 160421"/>
            <a:gd name="connsiteY0" fmla="*/ 11398 h 658095"/>
            <a:gd name="connsiteX1" fmla="*/ 110289 w 160421"/>
            <a:gd name="connsiteY1" fmla="*/ 61530 h 658095"/>
            <a:gd name="connsiteX2" fmla="*/ 140369 w 160421"/>
            <a:gd name="connsiteY2" fmla="*/ 196885 h 658095"/>
            <a:gd name="connsiteX3" fmla="*/ 160421 w 160421"/>
            <a:gd name="connsiteY3" fmla="*/ 658095 h 6580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60421" h="658095">
              <a:moveTo>
                <a:pt x="0" y="11398"/>
              </a:moveTo>
              <a:cubicBezTo>
                <a:pt x="43030" y="-23694"/>
                <a:pt x="86894" y="30615"/>
                <a:pt x="110289" y="61530"/>
              </a:cubicBezTo>
              <a:cubicBezTo>
                <a:pt x="133684" y="92445"/>
                <a:pt x="130343" y="109990"/>
                <a:pt x="140369" y="196885"/>
              </a:cubicBezTo>
              <a:cubicBezTo>
                <a:pt x="150395" y="283780"/>
                <a:pt x="151230" y="573707"/>
                <a:pt x="160421" y="658095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566241</xdr:colOff>
      <xdr:row>6</xdr:row>
      <xdr:rowOff>422006</xdr:rowOff>
    </xdr:from>
    <xdr:to>
      <xdr:col>3</xdr:col>
      <xdr:colOff>1167049</xdr:colOff>
      <xdr:row>6</xdr:row>
      <xdr:rowOff>1022814</xdr:rowOff>
    </xdr:to>
    <xdr:sp macro="" textlink="">
      <xdr:nvSpPr>
        <xdr:cNvPr id="131" name="Овал 130"/>
        <xdr:cNvSpPr/>
      </xdr:nvSpPr>
      <xdr:spPr>
        <a:xfrm rot="14674973">
          <a:off x="2109291" y="4346306"/>
          <a:ext cx="600808" cy="600808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9328</xdr:colOff>
      <xdr:row>6</xdr:row>
      <xdr:rowOff>469239</xdr:rowOff>
    </xdr:from>
    <xdr:to>
      <xdr:col>3</xdr:col>
      <xdr:colOff>1338138</xdr:colOff>
      <xdr:row>6</xdr:row>
      <xdr:rowOff>469239</xdr:rowOff>
    </xdr:to>
    <xdr:cxnSp macro="">
      <xdr:nvCxnSpPr>
        <xdr:cNvPr id="132" name="Прямая со стрелкой 131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rot="14674973" flipV="1">
          <a:off x="2216783" y="3729134"/>
          <a:ext cx="0" cy="132881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1117250</xdr:colOff>
      <xdr:row>6</xdr:row>
      <xdr:rowOff>1241333</xdr:rowOff>
    </xdr:from>
    <xdr:to>
      <xdr:col>3</xdr:col>
      <xdr:colOff>1189250</xdr:colOff>
      <xdr:row>6</xdr:row>
      <xdr:rowOff>1316646</xdr:rowOff>
    </xdr:to>
    <xdr:sp macro="" textlink="">
      <xdr:nvSpPr>
        <xdr:cNvPr id="133" name="Овал 132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 rot="14674973">
          <a:off x="2658643" y="516729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360643</xdr:colOff>
      <xdr:row>6</xdr:row>
      <xdr:rowOff>679092</xdr:rowOff>
    </xdr:from>
    <xdr:to>
      <xdr:col>3</xdr:col>
      <xdr:colOff>1013723</xdr:colOff>
      <xdr:row>6</xdr:row>
      <xdr:rowOff>1445295</xdr:rowOff>
    </xdr:to>
    <xdr:sp macro="" textlink="">
      <xdr:nvSpPr>
        <xdr:cNvPr id="134" name="Полилиния 133"/>
        <xdr:cNvSpPr/>
      </xdr:nvSpPr>
      <xdr:spPr>
        <a:xfrm rot="14674973">
          <a:off x="1847131" y="4659954"/>
          <a:ext cx="766203" cy="653080"/>
        </a:xfrm>
        <a:custGeom>
          <a:avLst/>
          <a:gdLst>
            <a:gd name="connsiteX0" fmla="*/ 0 w 684609"/>
            <a:gd name="connsiteY0" fmla="*/ 619125 h 619125"/>
            <a:gd name="connsiteX1" fmla="*/ 333375 w 684609"/>
            <a:gd name="connsiteY1" fmla="*/ 410766 h 619125"/>
            <a:gd name="connsiteX2" fmla="*/ 684609 w 684609"/>
            <a:gd name="connsiteY2" fmla="*/ 0 h 619125"/>
            <a:gd name="connsiteX0" fmla="*/ 0 w 731192"/>
            <a:gd name="connsiteY0" fmla="*/ 640626 h 640626"/>
            <a:gd name="connsiteX1" fmla="*/ 379958 w 731192"/>
            <a:gd name="connsiteY1" fmla="*/ 410766 h 640626"/>
            <a:gd name="connsiteX2" fmla="*/ 731192 w 731192"/>
            <a:gd name="connsiteY2" fmla="*/ 0 h 640626"/>
            <a:gd name="connsiteX0" fmla="*/ 0 w 766203"/>
            <a:gd name="connsiteY0" fmla="*/ 653080 h 653080"/>
            <a:gd name="connsiteX1" fmla="*/ 414969 w 766203"/>
            <a:gd name="connsiteY1" fmla="*/ 410766 h 653080"/>
            <a:gd name="connsiteX2" fmla="*/ 766203 w 766203"/>
            <a:gd name="connsiteY2" fmla="*/ 0 h 6530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66203" h="653080">
              <a:moveTo>
                <a:pt x="0" y="653080"/>
              </a:moveTo>
              <a:cubicBezTo>
                <a:pt x="109636" y="600494"/>
                <a:pt x="300867" y="513954"/>
                <a:pt x="414969" y="410766"/>
              </a:cubicBezTo>
              <a:cubicBezTo>
                <a:pt x="529071" y="307578"/>
                <a:pt x="699727" y="84336"/>
                <a:pt x="766203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965006</xdr:colOff>
      <xdr:row>6</xdr:row>
      <xdr:rowOff>396418</xdr:rowOff>
    </xdr:from>
    <xdr:to>
      <xdr:col>3</xdr:col>
      <xdr:colOff>1495788</xdr:colOff>
      <xdr:row>6</xdr:row>
      <xdr:rowOff>1196695</xdr:rowOff>
    </xdr:to>
    <xdr:sp macro="" textlink="">
      <xdr:nvSpPr>
        <xdr:cNvPr id="135" name="Полилиния 134"/>
        <xdr:cNvSpPr/>
      </xdr:nvSpPr>
      <xdr:spPr>
        <a:xfrm rot="14674973">
          <a:off x="2373308" y="4455466"/>
          <a:ext cx="800277" cy="530782"/>
        </a:xfrm>
        <a:custGeom>
          <a:avLst/>
          <a:gdLst>
            <a:gd name="connsiteX0" fmla="*/ 0 w 720328"/>
            <a:gd name="connsiteY0" fmla="*/ 0 h 500063"/>
            <a:gd name="connsiteX1" fmla="*/ 375047 w 720328"/>
            <a:gd name="connsiteY1" fmla="*/ 190500 h 500063"/>
            <a:gd name="connsiteX2" fmla="*/ 720328 w 720328"/>
            <a:gd name="connsiteY2" fmla="*/ 500063 h 500063"/>
            <a:gd name="connsiteX0" fmla="*/ 0 w 800277"/>
            <a:gd name="connsiteY0" fmla="*/ 0 h 530782"/>
            <a:gd name="connsiteX1" fmla="*/ 454996 w 800277"/>
            <a:gd name="connsiteY1" fmla="*/ 221219 h 530782"/>
            <a:gd name="connsiteX2" fmla="*/ 800277 w 800277"/>
            <a:gd name="connsiteY2" fmla="*/ 530782 h 5307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00277" h="530782">
              <a:moveTo>
                <a:pt x="0" y="0"/>
              </a:moveTo>
              <a:cubicBezTo>
                <a:pt x="127496" y="53578"/>
                <a:pt x="334941" y="137875"/>
                <a:pt x="454996" y="221219"/>
              </a:cubicBezTo>
              <a:cubicBezTo>
                <a:pt x="575051" y="304563"/>
                <a:pt x="687664" y="417672"/>
                <a:pt x="800277" y="53078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991914</xdr:colOff>
      <xdr:row>6</xdr:row>
      <xdr:rowOff>926225</xdr:rowOff>
    </xdr:from>
    <xdr:to>
      <xdr:col>3</xdr:col>
      <xdr:colOff>1077310</xdr:colOff>
      <xdr:row>6</xdr:row>
      <xdr:rowOff>1011621</xdr:rowOff>
    </xdr:to>
    <xdr:sp macro="" textlink="">
      <xdr:nvSpPr>
        <xdr:cNvPr id="136" name="Прямоугольник 135"/>
        <xdr:cNvSpPr/>
      </xdr:nvSpPr>
      <xdr:spPr>
        <a:xfrm rot="2400000">
          <a:off x="2534964" y="4850525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939362</xdr:colOff>
      <xdr:row>6</xdr:row>
      <xdr:rowOff>1110156</xdr:rowOff>
    </xdr:from>
    <xdr:to>
      <xdr:col>3</xdr:col>
      <xdr:colOff>1024758</xdr:colOff>
      <xdr:row>6</xdr:row>
      <xdr:rowOff>1195552</xdr:rowOff>
    </xdr:to>
    <xdr:sp macro="" textlink="">
      <xdr:nvSpPr>
        <xdr:cNvPr id="137" name="Прямоугольник 136"/>
        <xdr:cNvSpPr/>
      </xdr:nvSpPr>
      <xdr:spPr>
        <a:xfrm rot="2400000">
          <a:off x="2482412" y="5034456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3</xdr:col>
      <xdr:colOff>798853</xdr:colOff>
      <xdr:row>8</xdr:row>
      <xdr:rowOff>40822</xdr:rowOff>
    </xdr:from>
    <xdr:to>
      <xdr:col>3</xdr:col>
      <xdr:colOff>798853</xdr:colOff>
      <xdr:row>8</xdr:row>
      <xdr:rowOff>1366754</xdr:rowOff>
    </xdr:to>
    <xdr:cxnSp macro="">
      <xdr:nvCxnSpPr>
        <xdr:cNvPr id="138" name="Прямая со стрелкой 13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50067" y="7007679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8</xdr:row>
      <xdr:rowOff>1336991</xdr:rowOff>
    </xdr:from>
    <xdr:to>
      <xdr:col>3</xdr:col>
      <xdr:colOff>828620</xdr:colOff>
      <xdr:row>8</xdr:row>
      <xdr:rowOff>1408991</xdr:rowOff>
    </xdr:to>
    <xdr:sp macro="" textlink="">
      <xdr:nvSpPr>
        <xdr:cNvPr id="139" name="Овал 138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7834" y="830384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122465</xdr:colOff>
      <xdr:row>8</xdr:row>
      <xdr:rowOff>726023</xdr:rowOff>
    </xdr:from>
    <xdr:to>
      <xdr:col>3</xdr:col>
      <xdr:colOff>457200</xdr:colOff>
      <xdr:row>8</xdr:row>
      <xdr:rowOff>726023</xdr:rowOff>
    </xdr:to>
    <xdr:cxnSp macro="">
      <xdr:nvCxnSpPr>
        <xdr:cNvPr id="140" name="Прямая соединительная линия 139"/>
        <xdr:cNvCxnSpPr/>
      </xdr:nvCxnSpPr>
      <xdr:spPr>
        <a:xfrm>
          <a:off x="1673679" y="7692880"/>
          <a:ext cx="334735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436790</xdr:colOff>
      <xdr:row>8</xdr:row>
      <xdr:rowOff>726023</xdr:rowOff>
    </xdr:from>
    <xdr:to>
      <xdr:col>3</xdr:col>
      <xdr:colOff>1504950</xdr:colOff>
      <xdr:row>8</xdr:row>
      <xdr:rowOff>726023</xdr:rowOff>
    </xdr:to>
    <xdr:cxnSp macro="">
      <xdr:nvCxnSpPr>
        <xdr:cNvPr id="141" name="Прямая соединительная линия 140"/>
        <xdr:cNvCxnSpPr/>
      </xdr:nvCxnSpPr>
      <xdr:spPr>
        <a:xfrm>
          <a:off x="1988004" y="7692880"/>
          <a:ext cx="106816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125186</xdr:colOff>
      <xdr:row>17</xdr:row>
      <xdr:rowOff>188822</xdr:rowOff>
    </xdr:from>
    <xdr:to>
      <xdr:col>3</xdr:col>
      <xdr:colOff>1374210</xdr:colOff>
      <xdr:row>17</xdr:row>
      <xdr:rowOff>1309338</xdr:rowOff>
    </xdr:to>
    <xdr:cxnSp macro="">
      <xdr:nvCxnSpPr>
        <xdr:cNvPr id="142" name="Прямая со стрелкой 14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H="1">
          <a:off x="1663840" y="20880053"/>
          <a:ext cx="1249024" cy="112051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699130</xdr:colOff>
      <xdr:row>17</xdr:row>
      <xdr:rowOff>1381593</xdr:rowOff>
    </xdr:from>
    <xdr:to>
      <xdr:col>3</xdr:col>
      <xdr:colOff>771130</xdr:colOff>
      <xdr:row>17</xdr:row>
      <xdr:rowOff>1453593</xdr:rowOff>
    </xdr:to>
    <xdr:sp macro="" textlink="">
      <xdr:nvSpPr>
        <xdr:cNvPr id="143" name="Овал 14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3686258">
          <a:off x="2240448" y="2207682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729722</xdr:colOff>
      <xdr:row>17</xdr:row>
      <xdr:rowOff>450273</xdr:rowOff>
    </xdr:from>
    <xdr:to>
      <xdr:col>3</xdr:col>
      <xdr:colOff>729722</xdr:colOff>
      <xdr:row>17</xdr:row>
      <xdr:rowOff>1432203</xdr:rowOff>
    </xdr:to>
    <xdr:cxnSp macro="">
      <xdr:nvCxnSpPr>
        <xdr:cNvPr id="144" name="Прямая со стрелкой 14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271040" y="21145500"/>
          <a:ext cx="0" cy="981930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609117</xdr:colOff>
      <xdr:row>17</xdr:row>
      <xdr:rowOff>119168</xdr:rowOff>
    </xdr:from>
    <xdr:to>
      <xdr:col>3</xdr:col>
      <xdr:colOff>859265</xdr:colOff>
      <xdr:row>17</xdr:row>
      <xdr:rowOff>396255</xdr:rowOff>
    </xdr:to>
    <xdr:cxnSp macro="">
      <xdr:nvCxnSpPr>
        <xdr:cNvPr id="145" name="Прямая со стрелкой 14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3686258">
          <a:off x="2136965" y="20827865"/>
          <a:ext cx="277087" cy="250148"/>
        </a:xfrm>
        <a:prstGeom prst="straightConnector1">
          <a:avLst/>
        </a:prstGeom>
        <a:ln w="19050">
          <a:prstDash val="sysDot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508271</xdr:colOff>
      <xdr:row>4</xdr:row>
      <xdr:rowOff>94532</xdr:rowOff>
    </xdr:from>
    <xdr:to>
      <xdr:col>4</xdr:col>
      <xdr:colOff>1124727</xdr:colOff>
      <xdr:row>4</xdr:row>
      <xdr:rowOff>704185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471" y="970832"/>
          <a:ext cx="616456" cy="609653"/>
        </a:xfrm>
        <a:prstGeom prst="rect">
          <a:avLst/>
        </a:prstGeom>
      </xdr:spPr>
    </xdr:pic>
    <xdr:clientData/>
  </xdr:twoCellAnchor>
  <xdr:twoCellAnchor editAs="oneCell">
    <xdr:from>
      <xdr:col>5</xdr:col>
      <xdr:colOff>133751</xdr:colOff>
      <xdr:row>4</xdr:row>
      <xdr:rowOff>81962</xdr:rowOff>
    </xdr:from>
    <xdr:to>
      <xdr:col>5</xdr:col>
      <xdr:colOff>748526</xdr:colOff>
      <xdr:row>4</xdr:row>
      <xdr:rowOff>691615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9076" y="958262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832265</xdr:colOff>
      <xdr:row>4</xdr:row>
      <xdr:rowOff>78441</xdr:rowOff>
    </xdr:from>
    <xdr:to>
      <xdr:col>3</xdr:col>
      <xdr:colOff>832265</xdr:colOff>
      <xdr:row>4</xdr:row>
      <xdr:rowOff>1390397</xdr:rowOff>
    </xdr:to>
    <xdr:cxnSp macro="">
      <xdr:nvCxnSpPr>
        <xdr:cNvPr id="4" name="Прямая со стрелкой 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75315" y="954741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791272</xdr:colOff>
      <xdr:row>4</xdr:row>
      <xdr:rowOff>1372698</xdr:rowOff>
    </xdr:from>
    <xdr:to>
      <xdr:col>3</xdr:col>
      <xdr:colOff>863272</xdr:colOff>
      <xdr:row>4</xdr:row>
      <xdr:rowOff>1444698</xdr:rowOff>
    </xdr:to>
    <xdr:sp macro="" textlink="">
      <xdr:nvSpPr>
        <xdr:cNvPr id="5" name="Овал 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34322" y="224899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1005944</xdr:colOff>
      <xdr:row>4</xdr:row>
      <xdr:rowOff>716685</xdr:rowOff>
    </xdr:from>
    <xdr:to>
      <xdr:col>3</xdr:col>
      <xdr:colOff>1077944</xdr:colOff>
      <xdr:row>4</xdr:row>
      <xdr:rowOff>788685</xdr:rowOff>
    </xdr:to>
    <xdr:sp macro="" textlink="">
      <xdr:nvSpPr>
        <xdr:cNvPr id="6" name="5-конечная звезда 5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48994" y="159298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571500</xdr:colOff>
      <xdr:row>4</xdr:row>
      <xdr:rowOff>724012</xdr:rowOff>
    </xdr:from>
    <xdr:to>
      <xdr:col>3</xdr:col>
      <xdr:colOff>643500</xdr:colOff>
      <xdr:row>4</xdr:row>
      <xdr:rowOff>796012</xdr:rowOff>
    </xdr:to>
    <xdr:sp macro="" textlink="">
      <xdr:nvSpPr>
        <xdr:cNvPr id="7" name="5-конечная звезда 6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114550" y="160031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802084</xdr:colOff>
      <xdr:row>5</xdr:row>
      <xdr:rowOff>78441</xdr:rowOff>
    </xdr:from>
    <xdr:to>
      <xdr:col>3</xdr:col>
      <xdr:colOff>802084</xdr:colOff>
      <xdr:row>5</xdr:row>
      <xdr:rowOff>1370368</xdr:rowOff>
    </xdr:to>
    <xdr:cxnSp macro="">
      <xdr:nvCxnSpPr>
        <xdr:cNvPr id="8" name="Прямая со стрелкой 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134" y="2478741"/>
          <a:ext cx="0" cy="129192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761091</xdr:colOff>
      <xdr:row>5</xdr:row>
      <xdr:rowOff>1352672</xdr:rowOff>
    </xdr:from>
    <xdr:to>
      <xdr:col>3</xdr:col>
      <xdr:colOff>833091</xdr:colOff>
      <xdr:row>5</xdr:row>
      <xdr:rowOff>1424672</xdr:rowOff>
    </xdr:to>
    <xdr:sp macro="" textlink="">
      <xdr:nvSpPr>
        <xdr:cNvPr id="9" name="Овал 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4141" y="375297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811190</xdr:colOff>
      <xdr:row>5</xdr:row>
      <xdr:rowOff>561564</xdr:rowOff>
    </xdr:from>
    <xdr:to>
      <xdr:col>3</xdr:col>
      <xdr:colOff>1492195</xdr:colOff>
      <xdr:row>5</xdr:row>
      <xdr:rowOff>762000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54240" y="2961864"/>
          <a:ext cx="681005" cy="200436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78444</xdr:colOff>
      <xdr:row>5</xdr:row>
      <xdr:rowOff>769009</xdr:rowOff>
    </xdr:from>
    <xdr:to>
      <xdr:col>3</xdr:col>
      <xdr:colOff>805543</xdr:colOff>
      <xdr:row>5</xdr:row>
      <xdr:rowOff>769009</xdr:rowOff>
    </xdr:to>
    <xdr:cxnSp macro="">
      <xdr:nvCxnSpPr>
        <xdr:cNvPr id="11" name="Прямая со стрелкой 1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21494" y="3169309"/>
          <a:ext cx="727099" cy="0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98241</xdr:colOff>
      <xdr:row>8</xdr:row>
      <xdr:rowOff>676792</xdr:rowOff>
    </xdr:from>
    <xdr:to>
      <xdr:col>3</xdr:col>
      <xdr:colOff>1454970</xdr:colOff>
      <xdr:row>8</xdr:row>
      <xdr:rowOff>742406</xdr:rowOff>
    </xdr:to>
    <xdr:cxnSp macro="">
      <xdr:nvCxnSpPr>
        <xdr:cNvPr id="12" name="Прямая со стрелкой 1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41291" y="7649092"/>
          <a:ext cx="1356729" cy="65614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649042</xdr:colOff>
      <xdr:row>8</xdr:row>
      <xdr:rowOff>1324460</xdr:rowOff>
    </xdr:from>
    <xdr:to>
      <xdr:col>3</xdr:col>
      <xdr:colOff>721042</xdr:colOff>
      <xdr:row>8</xdr:row>
      <xdr:rowOff>1396460</xdr:rowOff>
    </xdr:to>
    <xdr:sp macro="" textlink="">
      <xdr:nvSpPr>
        <xdr:cNvPr id="13" name="Овал 1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192092" y="829676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820000</xdr:colOff>
      <xdr:row>8</xdr:row>
      <xdr:rowOff>109384</xdr:rowOff>
    </xdr:from>
    <xdr:to>
      <xdr:col>3</xdr:col>
      <xdr:colOff>927422</xdr:colOff>
      <xdr:row>8</xdr:row>
      <xdr:rowOff>689948</xdr:rowOff>
    </xdr:to>
    <xdr:cxnSp macro="">
      <xdr:nvCxnSpPr>
        <xdr:cNvPr id="14" name="Прямая со стрелкой 1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 flipH="1" flipV="1">
          <a:off x="2363050" y="7081684"/>
          <a:ext cx="107422" cy="580564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676991</xdr:colOff>
      <xdr:row>8</xdr:row>
      <xdr:rowOff>707621</xdr:rowOff>
    </xdr:from>
    <xdr:to>
      <xdr:col>3</xdr:col>
      <xdr:colOff>704656</xdr:colOff>
      <xdr:row>8</xdr:row>
      <xdr:rowOff>1364961</xdr:rowOff>
    </xdr:to>
    <xdr:cxnSp macro="">
      <xdr:nvCxnSpPr>
        <xdr:cNvPr id="15" name="Прямая со стрелкой 1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>
          <a:off x="2220041" y="7679921"/>
          <a:ext cx="27665" cy="657340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838200</xdr:colOff>
      <xdr:row>7</xdr:row>
      <xdr:rowOff>142875</xdr:rowOff>
    </xdr:from>
    <xdr:to>
      <xdr:col>3</xdr:col>
      <xdr:colOff>990600</xdr:colOff>
      <xdr:row>7</xdr:row>
      <xdr:rowOff>1400175</xdr:rowOff>
    </xdr:to>
    <xdr:sp macro="" textlink="">
      <xdr:nvSpPr>
        <xdr:cNvPr id="16" name="Полилиния 15"/>
        <xdr:cNvSpPr/>
      </xdr:nvSpPr>
      <xdr:spPr>
        <a:xfrm>
          <a:off x="2381250" y="5591175"/>
          <a:ext cx="152400" cy="1257300"/>
        </a:xfrm>
        <a:custGeom>
          <a:avLst/>
          <a:gdLst>
            <a:gd name="connsiteX0" fmla="*/ 0 w 152400"/>
            <a:gd name="connsiteY0" fmla="*/ 1257300 h 1257300"/>
            <a:gd name="connsiteX1" fmla="*/ 38100 w 152400"/>
            <a:gd name="connsiteY1" fmla="*/ 704850 h 1257300"/>
            <a:gd name="connsiteX2" fmla="*/ 152400 w 152400"/>
            <a:gd name="connsiteY2" fmla="*/ 0 h 1257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2400" h="1257300">
              <a:moveTo>
                <a:pt x="0" y="1257300"/>
              </a:moveTo>
              <a:cubicBezTo>
                <a:pt x="6350" y="1085850"/>
                <a:pt x="12700" y="914400"/>
                <a:pt x="38100" y="704850"/>
              </a:cubicBezTo>
              <a:cubicBezTo>
                <a:pt x="63500" y="495300"/>
                <a:pt x="128588" y="141287"/>
                <a:pt x="152400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619125</xdr:colOff>
      <xdr:row>7</xdr:row>
      <xdr:rowOff>180975</xdr:rowOff>
    </xdr:from>
    <xdr:to>
      <xdr:col>3</xdr:col>
      <xdr:colOff>876300</xdr:colOff>
      <xdr:row>7</xdr:row>
      <xdr:rowOff>895350</xdr:rowOff>
    </xdr:to>
    <xdr:sp macro="" textlink="">
      <xdr:nvSpPr>
        <xdr:cNvPr id="17" name="Полилиния 16"/>
        <xdr:cNvSpPr/>
      </xdr:nvSpPr>
      <xdr:spPr>
        <a:xfrm>
          <a:off x="2162175" y="5629275"/>
          <a:ext cx="257175" cy="714375"/>
        </a:xfrm>
        <a:custGeom>
          <a:avLst/>
          <a:gdLst>
            <a:gd name="connsiteX0" fmla="*/ 0 w 257175"/>
            <a:gd name="connsiteY0" fmla="*/ 0 h 714375"/>
            <a:gd name="connsiteX1" fmla="*/ 123825 w 257175"/>
            <a:gd name="connsiteY1" fmla="*/ 276225 h 714375"/>
            <a:gd name="connsiteX2" fmla="*/ 257175 w 257175"/>
            <a:gd name="connsiteY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7175" h="714375">
              <a:moveTo>
                <a:pt x="0" y="0"/>
              </a:moveTo>
              <a:cubicBezTo>
                <a:pt x="40481" y="78581"/>
                <a:pt x="80963" y="157163"/>
                <a:pt x="123825" y="276225"/>
              </a:cubicBezTo>
              <a:cubicBezTo>
                <a:pt x="166688" y="395288"/>
                <a:pt x="211931" y="554831"/>
                <a:pt x="257175" y="714375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796987</xdr:colOff>
      <xdr:row>7</xdr:row>
      <xdr:rowOff>1351668</xdr:rowOff>
    </xdr:from>
    <xdr:to>
      <xdr:col>3</xdr:col>
      <xdr:colOff>868987</xdr:colOff>
      <xdr:row>7</xdr:row>
      <xdr:rowOff>1423668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340037" y="67999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111672</xdr:colOff>
      <xdr:row>9</xdr:row>
      <xdr:rowOff>551794</xdr:rowOff>
    </xdr:from>
    <xdr:to>
      <xdr:col>3</xdr:col>
      <xdr:colOff>1471448</xdr:colOff>
      <xdr:row>9</xdr:row>
      <xdr:rowOff>893380</xdr:rowOff>
    </xdr:to>
    <xdr:cxnSp macro="">
      <xdr:nvCxnSpPr>
        <xdr:cNvPr id="19" name="Прямая со стрелкой 1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54722" y="9048094"/>
          <a:ext cx="1359776" cy="341586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741008</xdr:colOff>
      <xdr:row>9</xdr:row>
      <xdr:rowOff>1343510</xdr:rowOff>
    </xdr:from>
    <xdr:to>
      <xdr:col>3</xdr:col>
      <xdr:colOff>813008</xdr:colOff>
      <xdr:row>9</xdr:row>
      <xdr:rowOff>1415510</xdr:rowOff>
    </xdr:to>
    <xdr:sp macro="" textlink="">
      <xdr:nvSpPr>
        <xdr:cNvPr id="20" name="Овал 1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284058" y="983981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617483</xdr:colOff>
      <xdr:row>9</xdr:row>
      <xdr:rowOff>710816</xdr:rowOff>
    </xdr:from>
    <xdr:to>
      <xdr:col>3</xdr:col>
      <xdr:colOff>709276</xdr:colOff>
      <xdr:row>9</xdr:row>
      <xdr:rowOff>1037897</xdr:rowOff>
    </xdr:to>
    <xdr:cxnSp macro="">
      <xdr:nvCxnSpPr>
        <xdr:cNvPr id="21" name="Прямая со стрелкой 2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160533" y="9207116"/>
          <a:ext cx="91793" cy="327081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768957</xdr:colOff>
      <xdr:row>9</xdr:row>
      <xdr:rowOff>726671</xdr:rowOff>
    </xdr:from>
    <xdr:to>
      <xdr:col>3</xdr:col>
      <xdr:colOff>796622</xdr:colOff>
      <xdr:row>9</xdr:row>
      <xdr:rowOff>1384011</xdr:rowOff>
    </xdr:to>
    <xdr:cxnSp macro="">
      <xdr:nvCxnSpPr>
        <xdr:cNvPr id="22" name="Прямая со стрелкой 2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6125">
          <a:off x="2312007" y="9222971"/>
          <a:ext cx="27665" cy="657340"/>
        </a:xfrm>
        <a:prstGeom prst="straightConnector1">
          <a:avLst/>
        </a:prstGeom>
        <a:ln w="19050">
          <a:prstDash val="solid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756987</xdr:colOff>
      <xdr:row>10</xdr:row>
      <xdr:rowOff>771525</xdr:rowOff>
    </xdr:from>
    <xdr:to>
      <xdr:col>3</xdr:col>
      <xdr:colOff>756987</xdr:colOff>
      <xdr:row>10</xdr:row>
      <xdr:rowOff>1451681</xdr:rowOff>
    </xdr:to>
    <xdr:cxnSp macro="">
      <xdr:nvCxnSpPr>
        <xdr:cNvPr id="23" name="Прямая со стрелкой 2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2300037" y="10791825"/>
          <a:ext cx="0" cy="680156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10</xdr:row>
      <xdr:rowOff>767063</xdr:rowOff>
    </xdr:from>
    <xdr:to>
      <xdr:col>3</xdr:col>
      <xdr:colOff>753189</xdr:colOff>
      <xdr:row>10</xdr:row>
      <xdr:rowOff>1224674</xdr:rowOff>
    </xdr:to>
    <xdr:cxnSp macro="">
      <xdr:nvCxnSpPr>
        <xdr:cNvPr id="24" name="Прямая со стрелкой 2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0800000" flipV="1">
          <a:off x="1619250" y="10787363"/>
          <a:ext cx="676989" cy="457611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765012</xdr:colOff>
      <xdr:row>10</xdr:row>
      <xdr:rowOff>750794</xdr:rowOff>
    </xdr:from>
    <xdr:to>
      <xdr:col>3</xdr:col>
      <xdr:colOff>1434353</xdr:colOff>
      <xdr:row>10</xdr:row>
      <xdr:rowOff>761113</xdr:rowOff>
    </xdr:to>
    <xdr:cxnSp macro="">
      <xdr:nvCxnSpPr>
        <xdr:cNvPr id="25" name="Прямая со стрелкой 2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08062" y="10771094"/>
          <a:ext cx="669341" cy="10319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721701</xdr:colOff>
      <xdr:row>10</xdr:row>
      <xdr:rowOff>1390650</xdr:rowOff>
    </xdr:from>
    <xdr:to>
      <xdr:col>3</xdr:col>
      <xdr:colOff>793701</xdr:colOff>
      <xdr:row>10</xdr:row>
      <xdr:rowOff>1462650</xdr:rowOff>
    </xdr:to>
    <xdr:sp macro="" textlink="">
      <xdr:nvSpPr>
        <xdr:cNvPr id="26" name="Овал 2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0966125">
          <a:off x="2264751" y="1141095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670034</xdr:colOff>
      <xdr:row>10</xdr:row>
      <xdr:rowOff>144518</xdr:rowOff>
    </xdr:from>
    <xdr:to>
      <xdr:col>3</xdr:col>
      <xdr:colOff>755641</xdr:colOff>
      <xdr:row>10</xdr:row>
      <xdr:rowOff>775138</xdr:rowOff>
    </xdr:to>
    <xdr:sp macro="" textlink="">
      <xdr:nvSpPr>
        <xdr:cNvPr id="27" name="Полилиния 26"/>
        <xdr:cNvSpPr/>
      </xdr:nvSpPr>
      <xdr:spPr>
        <a:xfrm>
          <a:off x="2213084" y="10164818"/>
          <a:ext cx="85607" cy="630620"/>
        </a:xfrm>
        <a:custGeom>
          <a:avLst/>
          <a:gdLst>
            <a:gd name="connsiteX0" fmla="*/ 85397 w 85607"/>
            <a:gd name="connsiteY0" fmla="*/ 630620 h 630620"/>
            <a:gd name="connsiteX1" fmla="*/ 72259 w 85607"/>
            <a:gd name="connsiteY1" fmla="*/ 348155 h 630620"/>
            <a:gd name="connsiteX2" fmla="*/ 0 w 85607"/>
            <a:gd name="connsiteY2" fmla="*/ 0 h 6306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5607" h="630620">
              <a:moveTo>
                <a:pt x="85397" y="630620"/>
              </a:moveTo>
              <a:cubicBezTo>
                <a:pt x="85944" y="541939"/>
                <a:pt x="86492" y="453258"/>
                <a:pt x="72259" y="348155"/>
              </a:cubicBezTo>
              <a:cubicBezTo>
                <a:pt x="58026" y="243052"/>
                <a:pt x="0" y="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755431</xdr:colOff>
      <xdr:row>10</xdr:row>
      <xdr:rowOff>151087</xdr:rowOff>
    </xdr:from>
    <xdr:to>
      <xdr:col>3</xdr:col>
      <xdr:colOff>880241</xdr:colOff>
      <xdr:row>10</xdr:row>
      <xdr:rowOff>775138</xdr:rowOff>
    </xdr:to>
    <xdr:sp macro="" textlink="">
      <xdr:nvSpPr>
        <xdr:cNvPr id="28" name="Полилиния 27"/>
        <xdr:cNvSpPr/>
      </xdr:nvSpPr>
      <xdr:spPr>
        <a:xfrm>
          <a:off x="2298481" y="10171387"/>
          <a:ext cx="124810" cy="624051"/>
        </a:xfrm>
        <a:custGeom>
          <a:avLst/>
          <a:gdLst>
            <a:gd name="connsiteX0" fmla="*/ 0 w 124810"/>
            <a:gd name="connsiteY0" fmla="*/ 624051 h 624051"/>
            <a:gd name="connsiteX1" fmla="*/ 32845 w 124810"/>
            <a:gd name="connsiteY1" fmla="*/ 295603 h 624051"/>
            <a:gd name="connsiteX2" fmla="*/ 124810 w 124810"/>
            <a:gd name="connsiteY2" fmla="*/ 0 h 6240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810" h="624051">
              <a:moveTo>
                <a:pt x="0" y="624051"/>
              </a:moveTo>
              <a:cubicBezTo>
                <a:pt x="6021" y="511831"/>
                <a:pt x="12043" y="399611"/>
                <a:pt x="32845" y="295603"/>
              </a:cubicBezTo>
              <a:cubicBezTo>
                <a:pt x="53647" y="191594"/>
                <a:pt x="124810" y="0"/>
                <a:pt x="12481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559339</xdr:colOff>
      <xdr:row>11</xdr:row>
      <xdr:rowOff>159791</xdr:rowOff>
    </xdr:from>
    <xdr:to>
      <xdr:col>3</xdr:col>
      <xdr:colOff>986434</xdr:colOff>
      <xdr:row>12</xdr:row>
      <xdr:rowOff>170235</xdr:rowOff>
    </xdr:to>
    <xdr:grpSp>
      <xdr:nvGrpSpPr>
        <xdr:cNvPr id="29" name="Группа 28"/>
        <xdr:cNvGrpSpPr/>
      </xdr:nvGrpSpPr>
      <xdr:grpSpPr>
        <a:xfrm>
          <a:off x="1521364" y="11704091"/>
          <a:ext cx="1008120" cy="1534444"/>
          <a:chOff x="1518408" y="11694894"/>
          <a:chExt cx="1005164" cy="1534444"/>
        </a:xfrm>
      </xdr:grpSpPr>
      <xdr:sp macro="" textlink="">
        <xdr:nvSpPr>
          <xdr:cNvPr id="30" name="Овал 29">
            <a:extLst>
              <a:ext uri="{FF2B5EF4-FFF2-40B4-BE49-F238E27FC236}">
                <a16:creationId xmlns:a16="http://schemas.microsoft.com/office/drawing/2014/main" id="{00000000-0008-0000-0900-000034020000}"/>
              </a:ext>
            </a:extLst>
          </xdr:cNvPr>
          <xdr:cNvSpPr/>
        </xdr:nvSpPr>
        <xdr:spPr>
          <a:xfrm rot="10966125">
            <a:off x="2339526" y="12884727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1" name="Полилиния 30"/>
          <xdr:cNvSpPr/>
        </xdr:nvSpPr>
        <xdr:spPr>
          <a:xfrm>
            <a:off x="2382767" y="11694894"/>
            <a:ext cx="140805" cy="1225826"/>
          </a:xfrm>
          <a:custGeom>
            <a:avLst/>
            <a:gdLst>
              <a:gd name="connsiteX0" fmla="*/ 0 w 140805"/>
              <a:gd name="connsiteY0" fmla="*/ 1225826 h 1225826"/>
              <a:gd name="connsiteX1" fmla="*/ 41413 w 140805"/>
              <a:gd name="connsiteY1" fmla="*/ 828261 h 1225826"/>
              <a:gd name="connsiteX2" fmla="*/ 82826 w 140805"/>
              <a:gd name="connsiteY2" fmla="*/ 289891 h 1225826"/>
              <a:gd name="connsiteX3" fmla="*/ 140805 w 140805"/>
              <a:gd name="connsiteY3" fmla="*/ 0 h 122582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40805" h="1225826">
                <a:moveTo>
                  <a:pt x="0" y="1225826"/>
                </a:moveTo>
                <a:cubicBezTo>
                  <a:pt x="13804" y="1105038"/>
                  <a:pt x="27609" y="984250"/>
                  <a:pt x="41413" y="828261"/>
                </a:cubicBezTo>
                <a:cubicBezTo>
                  <a:pt x="55217" y="672272"/>
                  <a:pt x="66261" y="427934"/>
                  <a:pt x="82826" y="289891"/>
                </a:cubicBezTo>
                <a:cubicBezTo>
                  <a:pt x="99391" y="151847"/>
                  <a:pt x="120098" y="75923"/>
                  <a:pt x="14080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2" name="Полилиния 31"/>
          <xdr:cNvSpPr/>
        </xdr:nvSpPr>
        <xdr:spPr>
          <a:xfrm>
            <a:off x="1797912" y="11811495"/>
            <a:ext cx="692305" cy="571500"/>
          </a:xfrm>
          <a:custGeom>
            <a:avLst/>
            <a:gdLst>
              <a:gd name="connsiteX0" fmla="*/ 0 w 692305"/>
              <a:gd name="connsiteY0" fmla="*/ 571500 h 571500"/>
              <a:gd name="connsiteX1" fmla="*/ 227671 w 692305"/>
              <a:gd name="connsiteY1" fmla="*/ 446048 h 571500"/>
              <a:gd name="connsiteX2" fmla="*/ 511097 w 692305"/>
              <a:gd name="connsiteY2" fmla="*/ 218378 h 571500"/>
              <a:gd name="connsiteX3" fmla="*/ 692305 w 692305"/>
              <a:gd name="connsiteY3" fmla="*/ 0 h 5715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692305" h="571500">
                <a:moveTo>
                  <a:pt x="0" y="571500"/>
                </a:moveTo>
                <a:cubicBezTo>
                  <a:pt x="71244" y="538201"/>
                  <a:pt x="142488" y="504902"/>
                  <a:pt x="227671" y="446048"/>
                </a:cubicBezTo>
                <a:cubicBezTo>
                  <a:pt x="312854" y="387194"/>
                  <a:pt x="433658" y="292719"/>
                  <a:pt x="511097" y="218378"/>
                </a:cubicBezTo>
                <a:cubicBezTo>
                  <a:pt x="588536" y="144037"/>
                  <a:pt x="692305" y="0"/>
                  <a:pt x="692305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3" name="Полилиния 32"/>
          <xdr:cNvSpPr/>
        </xdr:nvSpPr>
        <xdr:spPr>
          <a:xfrm>
            <a:off x="1876321" y="11731336"/>
            <a:ext cx="381000" cy="724829"/>
          </a:xfrm>
          <a:custGeom>
            <a:avLst/>
            <a:gdLst>
              <a:gd name="connsiteX0" fmla="*/ 381000 w 381000"/>
              <a:gd name="connsiteY0" fmla="*/ 724829 h 724829"/>
              <a:gd name="connsiteX1" fmla="*/ 269488 w 381000"/>
              <a:gd name="connsiteY1" fmla="*/ 585439 h 724829"/>
              <a:gd name="connsiteX2" fmla="*/ 130098 w 381000"/>
              <a:gd name="connsiteY2" fmla="*/ 357768 h 724829"/>
              <a:gd name="connsiteX3" fmla="*/ 0 w 381000"/>
              <a:gd name="connsiteY3" fmla="*/ 0 h 72482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81000" h="724829">
                <a:moveTo>
                  <a:pt x="381000" y="724829"/>
                </a:moveTo>
                <a:cubicBezTo>
                  <a:pt x="346152" y="685722"/>
                  <a:pt x="311305" y="646616"/>
                  <a:pt x="269488" y="585439"/>
                </a:cubicBezTo>
                <a:cubicBezTo>
                  <a:pt x="227671" y="524262"/>
                  <a:pt x="175013" y="455341"/>
                  <a:pt x="130098" y="357768"/>
                </a:cubicBezTo>
                <a:cubicBezTo>
                  <a:pt x="85183" y="260195"/>
                  <a:pt x="42591" y="130097"/>
                  <a:pt x="0" y="0"/>
                </a:cubicBezTo>
              </a:path>
            </a:pathLst>
          </a:custGeom>
          <a:noFill/>
          <a:ln w="19050">
            <a:solidFill>
              <a:schemeClr val="tx1"/>
            </a:solidFill>
            <a:tailEnd type="triangl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4" name="Дуга 33"/>
          <xdr:cNvSpPr/>
        </xdr:nvSpPr>
        <xdr:spPr>
          <a:xfrm rot="10628886">
            <a:off x="1518408" y="12341689"/>
            <a:ext cx="886111" cy="887649"/>
          </a:xfrm>
          <a:prstGeom prst="arc">
            <a:avLst>
              <a:gd name="adj1" fmla="val 4747739"/>
              <a:gd name="adj2" fmla="val 10606923"/>
            </a:avLst>
          </a:pr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3</xdr:col>
      <xdr:colOff>809853</xdr:colOff>
      <xdr:row>12</xdr:row>
      <xdr:rowOff>67236</xdr:rowOff>
    </xdr:from>
    <xdr:to>
      <xdr:col>3</xdr:col>
      <xdr:colOff>809853</xdr:colOff>
      <xdr:row>12</xdr:row>
      <xdr:rowOff>1379192</xdr:rowOff>
    </xdr:to>
    <xdr:cxnSp macro="">
      <xdr:nvCxnSpPr>
        <xdr:cNvPr id="35" name="Прямая со стрелкой 3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2903" y="13135536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768860</xdr:colOff>
      <xdr:row>12</xdr:row>
      <xdr:rowOff>1361493</xdr:rowOff>
    </xdr:from>
    <xdr:to>
      <xdr:col>3</xdr:col>
      <xdr:colOff>840860</xdr:colOff>
      <xdr:row>12</xdr:row>
      <xdr:rowOff>1433493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1910" y="1442979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983532</xdr:colOff>
      <xdr:row>12</xdr:row>
      <xdr:rowOff>705480</xdr:rowOff>
    </xdr:from>
    <xdr:to>
      <xdr:col>3</xdr:col>
      <xdr:colOff>1055532</xdr:colOff>
      <xdr:row>12</xdr:row>
      <xdr:rowOff>777480</xdr:rowOff>
    </xdr:to>
    <xdr:sp macro="" textlink="">
      <xdr:nvSpPr>
        <xdr:cNvPr id="37" name="5-конечная звезда 3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26582" y="13773780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481853</xdr:colOff>
      <xdr:row>12</xdr:row>
      <xdr:rowOff>515470</xdr:rowOff>
    </xdr:from>
    <xdr:to>
      <xdr:col>5</xdr:col>
      <xdr:colOff>596232</xdr:colOff>
      <xdr:row>12</xdr:row>
      <xdr:rowOff>905995</xdr:rowOff>
    </xdr:to>
    <xdr:sp macro="" textlink="">
      <xdr:nvSpPr>
        <xdr:cNvPr id="38" name="Прямоугольник 37"/>
        <xdr:cNvSpPr/>
      </xdr:nvSpPr>
      <xdr:spPr>
        <a:xfrm>
          <a:off x="3606053" y="13583770"/>
          <a:ext cx="1495504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???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1008529</xdr:colOff>
      <xdr:row>19</xdr:row>
      <xdr:rowOff>112059</xdr:rowOff>
    </xdr:from>
    <xdr:to>
      <xdr:col>5</xdr:col>
      <xdr:colOff>294154</xdr:colOff>
      <xdr:row>19</xdr:row>
      <xdr:rowOff>778809</xdr:rowOff>
    </xdr:to>
    <xdr:pic>
      <xdr:nvPicPr>
        <xdr:cNvPr id="39" name="Рисунок 38" descr="Картинки по запросу знак главная дорога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2729" y="23848359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1042145</xdr:colOff>
      <xdr:row>19</xdr:row>
      <xdr:rowOff>856780</xdr:rowOff>
    </xdr:from>
    <xdr:to>
      <xdr:col>5</xdr:col>
      <xdr:colOff>227478</xdr:colOff>
      <xdr:row>19</xdr:row>
      <xdr:rowOff>1422588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6345" y="24593080"/>
          <a:ext cx="566458" cy="565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813287</xdr:colOff>
      <xdr:row>19</xdr:row>
      <xdr:rowOff>100853</xdr:rowOff>
    </xdr:from>
    <xdr:to>
      <xdr:col>3</xdr:col>
      <xdr:colOff>813287</xdr:colOff>
      <xdr:row>19</xdr:row>
      <xdr:rowOff>1392780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6337" y="23837153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772294</xdr:colOff>
      <xdr:row>19</xdr:row>
      <xdr:rowOff>1375084</xdr:rowOff>
    </xdr:from>
    <xdr:to>
      <xdr:col>3</xdr:col>
      <xdr:colOff>844294</xdr:colOff>
      <xdr:row>19</xdr:row>
      <xdr:rowOff>1447084</xdr:rowOff>
    </xdr:to>
    <xdr:sp macro="" textlink="">
      <xdr:nvSpPr>
        <xdr:cNvPr id="42" name="Овал 4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5344" y="2511138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134470</xdr:colOff>
      <xdr:row>19</xdr:row>
      <xdr:rowOff>712979</xdr:rowOff>
    </xdr:from>
    <xdr:to>
      <xdr:col>3</xdr:col>
      <xdr:colOff>816747</xdr:colOff>
      <xdr:row>19</xdr:row>
      <xdr:rowOff>941293</xdr:rowOff>
    </xdr:to>
    <xdr:cxnSp macro="">
      <xdr:nvCxnSpPr>
        <xdr:cNvPr id="43" name="Прямая со стрелкой 4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77520" y="24449279"/>
          <a:ext cx="682277" cy="228314"/>
        </a:xfrm>
        <a:prstGeom prst="straightConnector1">
          <a:avLst/>
        </a:prstGeom>
        <a:ln w="19050">
          <a:prstDash val="solid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941294</xdr:colOff>
      <xdr:row>19</xdr:row>
      <xdr:rowOff>829235</xdr:rowOff>
    </xdr:from>
    <xdr:to>
      <xdr:col>3</xdr:col>
      <xdr:colOff>1013294</xdr:colOff>
      <xdr:row>19</xdr:row>
      <xdr:rowOff>901235</xdr:rowOff>
    </xdr:to>
    <xdr:sp macro="" textlink="">
      <xdr:nvSpPr>
        <xdr:cNvPr id="44" name="5-конечная звезда 4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4344" y="2456553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963707</xdr:colOff>
      <xdr:row>20</xdr:row>
      <xdr:rowOff>649941</xdr:rowOff>
    </xdr:from>
    <xdr:to>
      <xdr:col>5</xdr:col>
      <xdr:colOff>283238</xdr:colOff>
      <xdr:row>20</xdr:row>
      <xdr:rowOff>1269066</xdr:rowOff>
    </xdr:to>
    <xdr:pic>
      <xdr:nvPicPr>
        <xdr:cNvPr id="45" name="Рисунок 44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7907" y="25910241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896471</xdr:colOff>
      <xdr:row>20</xdr:row>
      <xdr:rowOff>347382</xdr:rowOff>
    </xdr:from>
    <xdr:to>
      <xdr:col>5</xdr:col>
      <xdr:colOff>326275</xdr:colOff>
      <xdr:row>20</xdr:row>
      <xdr:rowOff>616488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20671" y="25607682"/>
          <a:ext cx="810929" cy="269106"/>
        </a:xfrm>
        <a:prstGeom prst="rect">
          <a:avLst/>
        </a:prstGeom>
      </xdr:spPr>
    </xdr:pic>
    <xdr:clientData/>
  </xdr:twoCellAnchor>
  <xdr:twoCellAnchor>
    <xdr:from>
      <xdr:col>3</xdr:col>
      <xdr:colOff>123265</xdr:colOff>
      <xdr:row>20</xdr:row>
      <xdr:rowOff>739787</xdr:rowOff>
    </xdr:from>
    <xdr:to>
      <xdr:col>3</xdr:col>
      <xdr:colOff>1449197</xdr:colOff>
      <xdr:row>20</xdr:row>
      <xdr:rowOff>739787</xdr:rowOff>
    </xdr:to>
    <xdr:cxnSp macro="">
      <xdr:nvCxnSpPr>
        <xdr:cNvPr id="47" name="Прямая со стрелкой 4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6200000" flipV="1">
          <a:off x="2329281" y="25337121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743159</xdr:colOff>
      <xdr:row>20</xdr:row>
      <xdr:rowOff>1378012</xdr:rowOff>
    </xdr:from>
    <xdr:to>
      <xdr:col>3</xdr:col>
      <xdr:colOff>815159</xdr:colOff>
      <xdr:row>20</xdr:row>
      <xdr:rowOff>1450012</xdr:rowOff>
    </xdr:to>
    <xdr:sp macro="" textlink="">
      <xdr:nvSpPr>
        <xdr:cNvPr id="48" name="Овал 47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86209" y="2663831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780801</xdr:colOff>
      <xdr:row>20</xdr:row>
      <xdr:rowOff>739588</xdr:rowOff>
    </xdr:from>
    <xdr:to>
      <xdr:col>3</xdr:col>
      <xdr:colOff>780801</xdr:colOff>
      <xdr:row>20</xdr:row>
      <xdr:rowOff>1443609</xdr:rowOff>
    </xdr:to>
    <xdr:cxnSp macro="">
      <xdr:nvCxnSpPr>
        <xdr:cNvPr id="49" name="Прямая соединительная линия 48"/>
        <xdr:cNvCxnSpPr/>
      </xdr:nvCxnSpPr>
      <xdr:spPr>
        <a:xfrm rot="16200000" flipH="1">
          <a:off x="1971840" y="26351899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941294</xdr:colOff>
      <xdr:row>20</xdr:row>
      <xdr:rowOff>874058</xdr:rowOff>
    </xdr:from>
    <xdr:to>
      <xdr:col>3</xdr:col>
      <xdr:colOff>1013294</xdr:colOff>
      <xdr:row>20</xdr:row>
      <xdr:rowOff>946058</xdr:rowOff>
    </xdr:to>
    <xdr:sp macro="" textlink="">
      <xdr:nvSpPr>
        <xdr:cNvPr id="50" name="5-конечная звезда 4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4344" y="2613435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73742</xdr:colOff>
      <xdr:row>21</xdr:row>
      <xdr:rowOff>857250</xdr:rowOff>
    </xdr:from>
    <xdr:to>
      <xdr:col>3</xdr:col>
      <xdr:colOff>788653</xdr:colOff>
      <xdr:row>21</xdr:row>
      <xdr:rowOff>857250</xdr:rowOff>
    </xdr:to>
    <xdr:cxnSp macro="">
      <xdr:nvCxnSpPr>
        <xdr:cNvPr id="51" name="Прямая со стрелкой 50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1616792" y="27641550"/>
          <a:ext cx="714911" cy="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823413</xdr:colOff>
      <xdr:row>21</xdr:row>
      <xdr:rowOff>1370965</xdr:rowOff>
    </xdr:from>
    <xdr:to>
      <xdr:col>3</xdr:col>
      <xdr:colOff>895413</xdr:colOff>
      <xdr:row>21</xdr:row>
      <xdr:rowOff>1442965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366463" y="2815526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668742</xdr:colOff>
      <xdr:row>21</xdr:row>
      <xdr:rowOff>100856</xdr:rowOff>
    </xdr:from>
    <xdr:to>
      <xdr:col>3</xdr:col>
      <xdr:colOff>668742</xdr:colOff>
      <xdr:row>21</xdr:row>
      <xdr:rowOff>1421199</xdr:rowOff>
    </xdr:to>
    <xdr:cxnSp macro="">
      <xdr:nvCxnSpPr>
        <xdr:cNvPr id="53" name="Прямая соединительная линия 52"/>
        <xdr:cNvCxnSpPr/>
      </xdr:nvCxnSpPr>
      <xdr:spPr>
        <a:xfrm>
          <a:off x="2211792" y="26885156"/>
          <a:ext cx="0" cy="1320343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769326</xdr:colOff>
      <xdr:row>21</xdr:row>
      <xdr:rowOff>105650</xdr:rowOff>
    </xdr:from>
    <xdr:to>
      <xdr:col>3</xdr:col>
      <xdr:colOff>856776</xdr:colOff>
      <xdr:row>21</xdr:row>
      <xdr:rowOff>1406769</xdr:rowOff>
    </xdr:to>
    <xdr:sp macro="" textlink="">
      <xdr:nvSpPr>
        <xdr:cNvPr id="54" name="Полилиния 53"/>
        <xdr:cNvSpPr/>
      </xdr:nvSpPr>
      <xdr:spPr>
        <a:xfrm>
          <a:off x="2312376" y="26889950"/>
          <a:ext cx="87450" cy="1301119"/>
        </a:xfrm>
        <a:custGeom>
          <a:avLst/>
          <a:gdLst>
            <a:gd name="connsiteX0" fmla="*/ 67935 w 79613"/>
            <a:gd name="connsiteY0" fmla="*/ 1304192 h 1304192"/>
            <a:gd name="connsiteX1" fmla="*/ 75262 w 79613"/>
            <a:gd name="connsiteY1" fmla="*/ 820615 h 1304192"/>
            <a:gd name="connsiteX2" fmla="*/ 9320 w 79613"/>
            <a:gd name="connsiteY2" fmla="*/ 681404 h 1304192"/>
            <a:gd name="connsiteX3" fmla="*/ 1993 w 79613"/>
            <a:gd name="connsiteY3" fmla="*/ 0 h 1304192"/>
            <a:gd name="connsiteX0" fmla="*/ 89443 w 92722"/>
            <a:gd name="connsiteY0" fmla="*/ 1304192 h 1304192"/>
            <a:gd name="connsiteX1" fmla="*/ 75262 w 92722"/>
            <a:gd name="connsiteY1" fmla="*/ 820615 h 1304192"/>
            <a:gd name="connsiteX2" fmla="*/ 9320 w 92722"/>
            <a:gd name="connsiteY2" fmla="*/ 681404 h 1304192"/>
            <a:gd name="connsiteX3" fmla="*/ 1993 w 92722"/>
            <a:gd name="connsiteY3" fmla="*/ 0 h 1304192"/>
            <a:gd name="connsiteX0" fmla="*/ 89443 w 89443"/>
            <a:gd name="connsiteY0" fmla="*/ 1304192 h 1304192"/>
            <a:gd name="connsiteX1" fmla="*/ 75262 w 89443"/>
            <a:gd name="connsiteY1" fmla="*/ 820615 h 1304192"/>
            <a:gd name="connsiteX2" fmla="*/ 9320 w 89443"/>
            <a:gd name="connsiteY2" fmla="*/ 681404 h 1304192"/>
            <a:gd name="connsiteX3" fmla="*/ 1993 w 89443"/>
            <a:gd name="connsiteY3" fmla="*/ 0 h 1304192"/>
            <a:gd name="connsiteX0" fmla="*/ 89443 w 89443"/>
            <a:gd name="connsiteY0" fmla="*/ 1301119 h 1301119"/>
            <a:gd name="connsiteX1" fmla="*/ 75262 w 89443"/>
            <a:gd name="connsiteY1" fmla="*/ 817542 h 1301119"/>
            <a:gd name="connsiteX2" fmla="*/ 9320 w 89443"/>
            <a:gd name="connsiteY2" fmla="*/ 678331 h 1301119"/>
            <a:gd name="connsiteX3" fmla="*/ 1993 w 89443"/>
            <a:gd name="connsiteY3" fmla="*/ 0 h 1301119"/>
            <a:gd name="connsiteX0" fmla="*/ 87450 w 87450"/>
            <a:gd name="connsiteY0" fmla="*/ 1301119 h 1301119"/>
            <a:gd name="connsiteX1" fmla="*/ 73269 w 87450"/>
            <a:gd name="connsiteY1" fmla="*/ 817542 h 1301119"/>
            <a:gd name="connsiteX2" fmla="*/ 7327 w 87450"/>
            <a:gd name="connsiteY2" fmla="*/ 678331 h 1301119"/>
            <a:gd name="connsiteX3" fmla="*/ 0 w 87450"/>
            <a:gd name="connsiteY3" fmla="*/ 0 h 1301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87450" h="1301119">
              <a:moveTo>
                <a:pt x="87450" y="1301119"/>
              </a:moveTo>
              <a:cubicBezTo>
                <a:pt x="86780" y="1111229"/>
                <a:pt x="86623" y="921340"/>
                <a:pt x="73269" y="817542"/>
              </a:cubicBezTo>
              <a:cubicBezTo>
                <a:pt x="59915" y="713744"/>
                <a:pt x="19538" y="814588"/>
                <a:pt x="7327" y="678331"/>
              </a:cubicBezTo>
              <a:cubicBezTo>
                <a:pt x="-4884" y="542074"/>
                <a:pt x="3704" y="28768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123266</xdr:colOff>
      <xdr:row>22</xdr:row>
      <xdr:rowOff>789486</xdr:rowOff>
    </xdr:from>
    <xdr:to>
      <xdr:col>3</xdr:col>
      <xdr:colOff>1449198</xdr:colOff>
      <xdr:row>22</xdr:row>
      <xdr:rowOff>789486</xdr:rowOff>
    </xdr:to>
    <xdr:cxnSp macro="">
      <xdr:nvCxnSpPr>
        <xdr:cNvPr id="55" name="Прямая со стрелкой 5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5400000" flipH="1" flipV="1">
          <a:off x="2329282" y="28434820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743160</xdr:colOff>
      <xdr:row>22</xdr:row>
      <xdr:rowOff>1369730</xdr:rowOff>
    </xdr:from>
    <xdr:to>
      <xdr:col>3</xdr:col>
      <xdr:colOff>815160</xdr:colOff>
      <xdr:row>22</xdr:row>
      <xdr:rowOff>1441730</xdr:rowOff>
    </xdr:to>
    <xdr:sp macro="" textlink="">
      <xdr:nvSpPr>
        <xdr:cNvPr id="56" name="Овал 5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86210" y="2967803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780802</xdr:colOff>
      <xdr:row>22</xdr:row>
      <xdr:rowOff>786851</xdr:rowOff>
    </xdr:from>
    <xdr:to>
      <xdr:col>3</xdr:col>
      <xdr:colOff>780802</xdr:colOff>
      <xdr:row>22</xdr:row>
      <xdr:rowOff>1435327</xdr:rowOff>
    </xdr:to>
    <xdr:cxnSp macro="">
      <xdr:nvCxnSpPr>
        <xdr:cNvPr id="57" name="Прямая соединительная линия 56"/>
        <xdr:cNvCxnSpPr/>
      </xdr:nvCxnSpPr>
      <xdr:spPr>
        <a:xfrm>
          <a:off x="2323852" y="29095151"/>
          <a:ext cx="0" cy="648476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911090</xdr:colOff>
      <xdr:row>22</xdr:row>
      <xdr:rowOff>422416</xdr:rowOff>
    </xdr:from>
    <xdr:to>
      <xdr:col>3</xdr:col>
      <xdr:colOff>1428968</xdr:colOff>
      <xdr:row>22</xdr:row>
      <xdr:rowOff>786853</xdr:rowOff>
    </xdr:to>
    <xdr:cxnSp macro="">
      <xdr:nvCxnSpPr>
        <xdr:cNvPr id="58" name="Прямая соединительная линия 57"/>
        <xdr:cNvCxnSpPr/>
      </xdr:nvCxnSpPr>
      <xdr:spPr>
        <a:xfrm flipH="1">
          <a:off x="2454140" y="28730716"/>
          <a:ext cx="517878" cy="364437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800213</xdr:colOff>
      <xdr:row>23</xdr:row>
      <xdr:rowOff>85725</xdr:rowOff>
    </xdr:from>
    <xdr:to>
      <xdr:col>3</xdr:col>
      <xdr:colOff>800213</xdr:colOff>
      <xdr:row>23</xdr:row>
      <xdr:rowOff>1411657</xdr:rowOff>
    </xdr:to>
    <xdr:cxnSp macro="">
      <xdr:nvCxnSpPr>
        <xdr:cNvPr id="59" name="Прямая со стрелкой 5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3263" y="29918025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757980</xdr:colOff>
      <xdr:row>23</xdr:row>
      <xdr:rowOff>1381894</xdr:rowOff>
    </xdr:from>
    <xdr:to>
      <xdr:col>3</xdr:col>
      <xdr:colOff>829980</xdr:colOff>
      <xdr:row>23</xdr:row>
      <xdr:rowOff>1453894</xdr:rowOff>
    </xdr:to>
    <xdr:sp macro="" textlink="">
      <xdr:nvSpPr>
        <xdr:cNvPr id="60" name="Овал 5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1030" y="3121419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95250</xdr:colOff>
      <xdr:row>23</xdr:row>
      <xdr:rowOff>770926</xdr:rowOff>
    </xdr:from>
    <xdr:to>
      <xdr:col>3</xdr:col>
      <xdr:colOff>1506310</xdr:colOff>
      <xdr:row>23</xdr:row>
      <xdr:rowOff>770926</xdr:rowOff>
    </xdr:to>
    <xdr:cxnSp macro="">
      <xdr:nvCxnSpPr>
        <xdr:cNvPr id="61" name="Прямая соединительная линия 60"/>
        <xdr:cNvCxnSpPr/>
      </xdr:nvCxnSpPr>
      <xdr:spPr>
        <a:xfrm>
          <a:off x="1638300" y="30603226"/>
          <a:ext cx="1411060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104775</xdr:colOff>
      <xdr:row>24</xdr:row>
      <xdr:rowOff>727926</xdr:rowOff>
    </xdr:from>
    <xdr:to>
      <xdr:col>3</xdr:col>
      <xdr:colOff>1466850</xdr:colOff>
      <xdr:row>24</xdr:row>
      <xdr:rowOff>942975</xdr:rowOff>
    </xdr:to>
    <xdr:sp macro="" textlink="">
      <xdr:nvSpPr>
        <xdr:cNvPr id="62" name="Полилиния 61"/>
        <xdr:cNvSpPr/>
      </xdr:nvSpPr>
      <xdr:spPr>
        <a:xfrm>
          <a:off x="1647825" y="32084226"/>
          <a:ext cx="1362075" cy="215049"/>
        </a:xfrm>
        <a:custGeom>
          <a:avLst/>
          <a:gdLst>
            <a:gd name="connsiteX0" fmla="*/ 0 w 1362075"/>
            <a:gd name="connsiteY0" fmla="*/ 5499 h 215049"/>
            <a:gd name="connsiteX1" fmla="*/ 504825 w 1362075"/>
            <a:gd name="connsiteY1" fmla="*/ 5499 h 215049"/>
            <a:gd name="connsiteX2" fmla="*/ 733425 w 1362075"/>
            <a:gd name="connsiteY2" fmla="*/ 62649 h 215049"/>
            <a:gd name="connsiteX3" fmla="*/ 1362075 w 1362075"/>
            <a:gd name="connsiteY3" fmla="*/ 215049 h 21504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362075" h="215049">
              <a:moveTo>
                <a:pt x="0" y="5499"/>
              </a:moveTo>
              <a:cubicBezTo>
                <a:pt x="191294" y="736"/>
                <a:pt x="382588" y="-4026"/>
                <a:pt x="504825" y="5499"/>
              </a:cubicBezTo>
              <a:cubicBezTo>
                <a:pt x="627063" y="15024"/>
                <a:pt x="733425" y="62649"/>
                <a:pt x="733425" y="62649"/>
              </a:cubicBezTo>
              <a:lnTo>
                <a:pt x="1362075" y="215049"/>
              </a:ln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560618</xdr:colOff>
      <xdr:row>24</xdr:row>
      <xdr:rowOff>70757</xdr:rowOff>
    </xdr:from>
    <xdr:to>
      <xdr:col>3</xdr:col>
      <xdr:colOff>609604</xdr:colOff>
      <xdr:row>24</xdr:row>
      <xdr:rowOff>740229</xdr:rowOff>
    </xdr:to>
    <xdr:cxnSp macro="">
      <xdr:nvCxnSpPr>
        <xdr:cNvPr id="63" name="Прямая со стрелкой 6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 flipV="1">
          <a:off x="2103668" y="31427057"/>
          <a:ext cx="48986" cy="66947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781163</xdr:colOff>
      <xdr:row>24</xdr:row>
      <xdr:rowOff>771525</xdr:rowOff>
    </xdr:from>
    <xdr:to>
      <xdr:col>3</xdr:col>
      <xdr:colOff>781163</xdr:colOff>
      <xdr:row>24</xdr:row>
      <xdr:rowOff>1431472</xdr:rowOff>
    </xdr:to>
    <xdr:cxnSp macro="">
      <xdr:nvCxnSpPr>
        <xdr:cNvPr id="64" name="Прямая со стрелкой 6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24213" y="32127825"/>
          <a:ext cx="0" cy="659947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749816</xdr:colOff>
      <xdr:row>24</xdr:row>
      <xdr:rowOff>1392781</xdr:rowOff>
    </xdr:from>
    <xdr:to>
      <xdr:col>3</xdr:col>
      <xdr:colOff>821816</xdr:colOff>
      <xdr:row>24</xdr:row>
      <xdr:rowOff>1464781</xdr:rowOff>
    </xdr:to>
    <xdr:sp macro="" textlink="">
      <xdr:nvSpPr>
        <xdr:cNvPr id="65" name="Овал 6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2866" y="3274908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836422</xdr:colOff>
      <xdr:row>25</xdr:row>
      <xdr:rowOff>1348277</xdr:rowOff>
    </xdr:from>
    <xdr:to>
      <xdr:col>3</xdr:col>
      <xdr:colOff>908422</xdr:colOff>
      <xdr:row>25</xdr:row>
      <xdr:rowOff>1420277</xdr:rowOff>
    </xdr:to>
    <xdr:sp macro="" textlink="">
      <xdr:nvSpPr>
        <xdr:cNvPr id="66" name="Овал 6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79472" y="3422857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95250</xdr:colOff>
      <xdr:row>25</xdr:row>
      <xdr:rowOff>737309</xdr:rowOff>
    </xdr:from>
    <xdr:to>
      <xdr:col>3</xdr:col>
      <xdr:colOff>1506310</xdr:colOff>
      <xdr:row>25</xdr:row>
      <xdr:rowOff>737309</xdr:rowOff>
    </xdr:to>
    <xdr:cxnSp macro="">
      <xdr:nvCxnSpPr>
        <xdr:cNvPr id="67" name="Прямая соединительная линия 66"/>
        <xdr:cNvCxnSpPr/>
      </xdr:nvCxnSpPr>
      <xdr:spPr>
        <a:xfrm>
          <a:off x="1638300" y="33617609"/>
          <a:ext cx="1411060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878655</xdr:colOff>
      <xdr:row>25</xdr:row>
      <xdr:rowOff>739588</xdr:rowOff>
    </xdr:from>
    <xdr:to>
      <xdr:col>3</xdr:col>
      <xdr:colOff>878655</xdr:colOff>
      <xdr:row>25</xdr:row>
      <xdr:rowOff>1411657</xdr:rowOff>
    </xdr:to>
    <xdr:cxnSp macro="">
      <xdr:nvCxnSpPr>
        <xdr:cNvPr id="68" name="Прямая со стрелкой 6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421705" y="33619888"/>
          <a:ext cx="0" cy="672069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688155</xdr:colOff>
      <xdr:row>25</xdr:row>
      <xdr:rowOff>68415</xdr:rowOff>
    </xdr:from>
    <xdr:to>
      <xdr:col>3</xdr:col>
      <xdr:colOff>688155</xdr:colOff>
      <xdr:row>25</xdr:row>
      <xdr:rowOff>740484</xdr:rowOff>
    </xdr:to>
    <xdr:cxnSp macro="">
      <xdr:nvCxnSpPr>
        <xdr:cNvPr id="69" name="Прямая со стрелкой 6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231205" y="32948715"/>
          <a:ext cx="0" cy="672069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149601</xdr:colOff>
      <xdr:row>26</xdr:row>
      <xdr:rowOff>828876</xdr:rowOff>
    </xdr:from>
    <xdr:to>
      <xdr:col>3</xdr:col>
      <xdr:colOff>446920</xdr:colOff>
      <xdr:row>26</xdr:row>
      <xdr:rowOff>1084900</xdr:rowOff>
    </xdr:to>
    <xdr:cxnSp macro="">
      <xdr:nvCxnSpPr>
        <xdr:cNvPr id="70" name="Прямая со стрелкой 69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rot="16200000">
          <a:off x="1713299" y="35212528"/>
          <a:ext cx="256024" cy="297319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428973</xdr:colOff>
      <xdr:row>26</xdr:row>
      <xdr:rowOff>426543</xdr:rowOff>
    </xdr:from>
    <xdr:to>
      <xdr:col>3</xdr:col>
      <xdr:colOff>1029781</xdr:colOff>
      <xdr:row>26</xdr:row>
      <xdr:rowOff>1027351</xdr:rowOff>
    </xdr:to>
    <xdr:sp macro="" textlink="">
      <xdr:nvSpPr>
        <xdr:cNvPr id="71" name="Овал 70"/>
        <xdr:cNvSpPr/>
      </xdr:nvSpPr>
      <xdr:spPr>
        <a:xfrm rot="16200000">
          <a:off x="1972023" y="34830843"/>
          <a:ext cx="600808" cy="600808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730234</xdr:colOff>
      <xdr:row>26</xdr:row>
      <xdr:rowOff>1431486</xdr:rowOff>
    </xdr:from>
    <xdr:to>
      <xdr:col>3</xdr:col>
      <xdr:colOff>802234</xdr:colOff>
      <xdr:row>26</xdr:row>
      <xdr:rowOff>1503486</xdr:rowOff>
    </xdr:to>
    <xdr:sp macro="" textlink="">
      <xdr:nvSpPr>
        <xdr:cNvPr id="72" name="Овал 71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4928559" flipH="1">
          <a:off x="2273284" y="358357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732270</xdr:colOff>
      <xdr:row>26</xdr:row>
      <xdr:rowOff>37947</xdr:rowOff>
    </xdr:from>
    <xdr:to>
      <xdr:col>3</xdr:col>
      <xdr:colOff>1470457</xdr:colOff>
      <xdr:row>26</xdr:row>
      <xdr:rowOff>674932</xdr:rowOff>
    </xdr:to>
    <xdr:sp macro="" textlink="">
      <xdr:nvSpPr>
        <xdr:cNvPr id="73" name="Полилиния 72"/>
        <xdr:cNvSpPr/>
      </xdr:nvSpPr>
      <xdr:spPr>
        <a:xfrm rot="16200000">
          <a:off x="2325921" y="34391646"/>
          <a:ext cx="636985" cy="738187"/>
        </a:xfrm>
        <a:custGeom>
          <a:avLst/>
          <a:gdLst>
            <a:gd name="connsiteX0" fmla="*/ 0 w 636985"/>
            <a:gd name="connsiteY0" fmla="*/ 738187 h 738187"/>
            <a:gd name="connsiteX1" fmla="*/ 190500 w 636985"/>
            <a:gd name="connsiteY1" fmla="*/ 184546 h 738187"/>
            <a:gd name="connsiteX2" fmla="*/ 636985 w 636985"/>
            <a:gd name="connsiteY2" fmla="*/ 0 h 73818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36985" h="738187">
              <a:moveTo>
                <a:pt x="0" y="738187"/>
              </a:moveTo>
              <a:cubicBezTo>
                <a:pt x="42168" y="522882"/>
                <a:pt x="84336" y="307577"/>
                <a:pt x="190500" y="184546"/>
              </a:cubicBezTo>
              <a:cubicBezTo>
                <a:pt x="296664" y="61515"/>
                <a:pt x="466824" y="30757"/>
                <a:pt x="636985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767988</xdr:colOff>
      <xdr:row>26</xdr:row>
      <xdr:rowOff>805900</xdr:rowOff>
    </xdr:from>
    <xdr:to>
      <xdr:col>3</xdr:col>
      <xdr:colOff>1434738</xdr:colOff>
      <xdr:row>26</xdr:row>
      <xdr:rowOff>1490510</xdr:rowOff>
    </xdr:to>
    <xdr:sp macro="" textlink="">
      <xdr:nvSpPr>
        <xdr:cNvPr id="74" name="Полилиния 73"/>
        <xdr:cNvSpPr/>
      </xdr:nvSpPr>
      <xdr:spPr>
        <a:xfrm rot="16200000">
          <a:off x="2302108" y="35219130"/>
          <a:ext cx="684610" cy="666750"/>
        </a:xfrm>
        <a:custGeom>
          <a:avLst/>
          <a:gdLst>
            <a:gd name="connsiteX0" fmla="*/ 0 w 684610"/>
            <a:gd name="connsiteY0" fmla="*/ 0 h 666750"/>
            <a:gd name="connsiteX1" fmla="*/ 517922 w 684610"/>
            <a:gd name="connsiteY1" fmla="*/ 142875 h 666750"/>
            <a:gd name="connsiteX2" fmla="*/ 684610 w 684610"/>
            <a:gd name="connsiteY2" fmla="*/ 666750 h 666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84610" h="666750">
              <a:moveTo>
                <a:pt x="0" y="0"/>
              </a:moveTo>
              <a:cubicBezTo>
                <a:pt x="201910" y="15875"/>
                <a:pt x="403820" y="31750"/>
                <a:pt x="517922" y="142875"/>
              </a:cubicBezTo>
              <a:cubicBezTo>
                <a:pt x="632024" y="254000"/>
                <a:pt x="658317" y="460375"/>
                <a:pt x="684610" y="66675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428561</xdr:colOff>
      <xdr:row>26</xdr:row>
      <xdr:rowOff>49853</xdr:rowOff>
    </xdr:from>
    <xdr:to>
      <xdr:col>3</xdr:col>
      <xdr:colOff>571535</xdr:colOff>
      <xdr:row>26</xdr:row>
      <xdr:rowOff>1466697</xdr:rowOff>
    </xdr:to>
    <xdr:sp macro="" textlink="">
      <xdr:nvSpPr>
        <xdr:cNvPr id="75" name="Полилиния 74"/>
        <xdr:cNvSpPr/>
      </xdr:nvSpPr>
      <xdr:spPr>
        <a:xfrm rot="16200000">
          <a:off x="1334676" y="35091088"/>
          <a:ext cx="1416844" cy="142974"/>
        </a:xfrm>
        <a:custGeom>
          <a:avLst/>
          <a:gdLst>
            <a:gd name="connsiteX0" fmla="*/ 1416844 w 1416844"/>
            <a:gd name="connsiteY0" fmla="*/ 125115 h 142974"/>
            <a:gd name="connsiteX1" fmla="*/ 726281 w 1416844"/>
            <a:gd name="connsiteY1" fmla="*/ 99 h 142974"/>
            <a:gd name="connsiteX2" fmla="*/ 0 w 1416844"/>
            <a:gd name="connsiteY2" fmla="*/ 142974 h 14297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16844" h="142974">
              <a:moveTo>
                <a:pt x="1416844" y="125115"/>
              </a:moveTo>
              <a:cubicBezTo>
                <a:pt x="1189633" y="61118"/>
                <a:pt x="962422" y="-2878"/>
                <a:pt x="726281" y="99"/>
              </a:cubicBezTo>
              <a:cubicBezTo>
                <a:pt x="490140" y="3075"/>
                <a:pt x="0" y="142974"/>
                <a:pt x="0" y="14297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739040</xdr:colOff>
      <xdr:row>27</xdr:row>
      <xdr:rowOff>1395769</xdr:rowOff>
    </xdr:from>
    <xdr:to>
      <xdr:col>3</xdr:col>
      <xdr:colOff>811040</xdr:colOff>
      <xdr:row>27</xdr:row>
      <xdr:rowOff>1467769</xdr:rowOff>
    </xdr:to>
    <xdr:sp macro="" textlink="">
      <xdr:nvSpPr>
        <xdr:cNvPr id="76" name="Овал 75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4928559" flipH="1">
          <a:off x="2282090" y="3732406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752891</xdr:colOff>
      <xdr:row>27</xdr:row>
      <xdr:rowOff>101203</xdr:rowOff>
    </xdr:from>
    <xdr:to>
      <xdr:col>3</xdr:col>
      <xdr:colOff>782712</xdr:colOff>
      <xdr:row>27</xdr:row>
      <xdr:rowOff>1416843</xdr:rowOff>
    </xdr:to>
    <xdr:sp macro="" textlink="">
      <xdr:nvSpPr>
        <xdr:cNvPr id="77" name="Полилиния 76"/>
        <xdr:cNvSpPr/>
      </xdr:nvSpPr>
      <xdr:spPr>
        <a:xfrm>
          <a:off x="2295941" y="36029503"/>
          <a:ext cx="29821" cy="1315640"/>
        </a:xfrm>
        <a:custGeom>
          <a:avLst/>
          <a:gdLst>
            <a:gd name="connsiteX0" fmla="*/ 23867 w 29821"/>
            <a:gd name="connsiteY0" fmla="*/ 1315640 h 1315640"/>
            <a:gd name="connsiteX1" fmla="*/ 55 w 29821"/>
            <a:gd name="connsiteY1" fmla="*/ 666750 h 1315640"/>
            <a:gd name="connsiteX2" fmla="*/ 29821 w 29821"/>
            <a:gd name="connsiteY2" fmla="*/ 0 h 13156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821" h="1315640">
              <a:moveTo>
                <a:pt x="23867" y="1315640"/>
              </a:moveTo>
              <a:cubicBezTo>
                <a:pt x="11465" y="1100831"/>
                <a:pt x="-937" y="886023"/>
                <a:pt x="55" y="666750"/>
              </a:cubicBezTo>
              <a:cubicBezTo>
                <a:pt x="1047" y="447477"/>
                <a:pt x="29821" y="0"/>
                <a:pt x="29821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140805</xdr:colOff>
      <xdr:row>27</xdr:row>
      <xdr:rowOff>402242</xdr:rowOff>
    </xdr:from>
    <xdr:to>
      <xdr:col>3</xdr:col>
      <xdr:colOff>747432</xdr:colOff>
      <xdr:row>27</xdr:row>
      <xdr:rowOff>888867</xdr:rowOff>
    </xdr:to>
    <xdr:cxnSp macro="">
      <xdr:nvCxnSpPr>
        <xdr:cNvPr id="78" name="Прямая со стрелкой 77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>
          <a:off x="1683855" y="36330542"/>
          <a:ext cx="606627" cy="486625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760983</xdr:colOff>
      <xdr:row>27</xdr:row>
      <xdr:rowOff>566492</xdr:rowOff>
    </xdr:from>
    <xdr:to>
      <xdr:col>3</xdr:col>
      <xdr:colOff>1441174</xdr:colOff>
      <xdr:row>27</xdr:row>
      <xdr:rowOff>976900</xdr:rowOff>
    </xdr:to>
    <xdr:cxnSp macro="">
      <xdr:nvCxnSpPr>
        <xdr:cNvPr id="79" name="Прямая со стрелкой 78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flipV="1">
          <a:off x="2304033" y="36494792"/>
          <a:ext cx="680191" cy="410408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138334</xdr:colOff>
      <xdr:row>28</xdr:row>
      <xdr:rowOff>829502</xdr:rowOff>
    </xdr:from>
    <xdr:to>
      <xdr:col>3</xdr:col>
      <xdr:colOff>793784</xdr:colOff>
      <xdr:row>28</xdr:row>
      <xdr:rowOff>829502</xdr:rowOff>
    </xdr:to>
    <xdr:cxnSp macro="">
      <xdr:nvCxnSpPr>
        <xdr:cNvPr id="80" name="Прямая со стрелкой 79">
          <a:extLst>
            <a:ext uri="{FF2B5EF4-FFF2-40B4-BE49-F238E27FC236}">
              <a16:creationId xmlns:a16="http://schemas.microsoft.com/office/drawing/2014/main" id="{00000000-0008-0000-0900-0000A8010000}"/>
            </a:ext>
          </a:extLst>
        </xdr:cNvPr>
        <xdr:cNvCxnSpPr/>
      </xdr:nvCxnSpPr>
      <xdr:spPr>
        <a:xfrm flipH="1">
          <a:off x="1681384" y="38281802"/>
          <a:ext cx="655450" cy="0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662868</xdr:colOff>
      <xdr:row>28</xdr:row>
      <xdr:rowOff>104051</xdr:rowOff>
    </xdr:from>
    <xdr:to>
      <xdr:col>3</xdr:col>
      <xdr:colOff>841357</xdr:colOff>
      <xdr:row>28</xdr:row>
      <xdr:rowOff>1433595</xdr:rowOff>
    </xdr:to>
    <xdr:sp macro="" textlink="">
      <xdr:nvSpPr>
        <xdr:cNvPr id="81" name="Полилиния 80"/>
        <xdr:cNvSpPr/>
      </xdr:nvSpPr>
      <xdr:spPr>
        <a:xfrm>
          <a:off x="2205918" y="37556351"/>
          <a:ext cx="178489" cy="1329544"/>
        </a:xfrm>
        <a:custGeom>
          <a:avLst/>
          <a:gdLst>
            <a:gd name="connsiteX0" fmla="*/ 149087 w 166838"/>
            <a:gd name="connsiteY0" fmla="*/ 1466022 h 1494926"/>
            <a:gd name="connsiteX1" fmla="*/ 149087 w 166838"/>
            <a:gd name="connsiteY1" fmla="*/ 1408043 h 1494926"/>
            <a:gd name="connsiteX2" fmla="*/ 157369 w 166838"/>
            <a:gd name="connsiteY2" fmla="*/ 737152 h 1494926"/>
            <a:gd name="connsiteX3" fmla="*/ 0 w 166838"/>
            <a:gd name="connsiteY3" fmla="*/ 0 h 1494926"/>
            <a:gd name="connsiteX0" fmla="*/ 149087 w 204069"/>
            <a:gd name="connsiteY0" fmla="*/ 1466022 h 1513403"/>
            <a:gd name="connsiteX1" fmla="*/ 203977 w 204069"/>
            <a:gd name="connsiteY1" fmla="*/ 1443560 h 1513403"/>
            <a:gd name="connsiteX2" fmla="*/ 157369 w 204069"/>
            <a:gd name="connsiteY2" fmla="*/ 737152 h 1513403"/>
            <a:gd name="connsiteX3" fmla="*/ 0 w 204069"/>
            <a:gd name="connsiteY3" fmla="*/ 0 h 1513403"/>
            <a:gd name="connsiteX0" fmla="*/ 203977 w 204069"/>
            <a:gd name="connsiteY0" fmla="*/ 1443560 h 1443560"/>
            <a:gd name="connsiteX1" fmla="*/ 157369 w 204069"/>
            <a:gd name="connsiteY1" fmla="*/ 737152 h 1443560"/>
            <a:gd name="connsiteX2" fmla="*/ 0 w 204069"/>
            <a:gd name="connsiteY2" fmla="*/ 0 h 1443560"/>
            <a:gd name="connsiteX0" fmla="*/ 220121 w 220170"/>
            <a:gd name="connsiteY0" fmla="*/ 1508137 h 1508137"/>
            <a:gd name="connsiteX1" fmla="*/ 157369 w 220170"/>
            <a:gd name="connsiteY1" fmla="*/ 737152 h 1508137"/>
            <a:gd name="connsiteX2" fmla="*/ 0 w 220170"/>
            <a:gd name="connsiteY2" fmla="*/ 0 h 1508137"/>
            <a:gd name="connsiteX0" fmla="*/ 178449 w 178489"/>
            <a:gd name="connsiteY0" fmla="*/ 1329544 h 1329544"/>
            <a:gd name="connsiteX1" fmla="*/ 115697 w 178489"/>
            <a:gd name="connsiteY1" fmla="*/ 558559 h 1329544"/>
            <a:gd name="connsiteX2" fmla="*/ 0 w 178489"/>
            <a:gd name="connsiteY2" fmla="*/ 0 h 132954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8489" h="1329544">
              <a:moveTo>
                <a:pt x="178449" y="1329544"/>
              </a:moveTo>
              <a:cubicBezTo>
                <a:pt x="179829" y="1208066"/>
                <a:pt x="145438" y="780150"/>
                <a:pt x="115697" y="558559"/>
              </a:cubicBezTo>
              <a:cubicBezTo>
                <a:pt x="85956" y="336968"/>
                <a:pt x="66260" y="251239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804525</xdr:colOff>
      <xdr:row>28</xdr:row>
      <xdr:rowOff>1389816</xdr:rowOff>
    </xdr:from>
    <xdr:to>
      <xdr:col>3</xdr:col>
      <xdr:colOff>876525</xdr:colOff>
      <xdr:row>28</xdr:row>
      <xdr:rowOff>1461816</xdr:rowOff>
    </xdr:to>
    <xdr:sp macro="" textlink="">
      <xdr:nvSpPr>
        <xdr:cNvPr id="82" name="Овал 81">
          <a:extLst>
            <a:ext uri="{FF2B5EF4-FFF2-40B4-BE49-F238E27FC236}">
              <a16:creationId xmlns:a16="http://schemas.microsoft.com/office/drawing/2014/main" id="{00000000-0008-0000-0900-0000AA010000}"/>
            </a:ext>
          </a:extLst>
        </xdr:cNvPr>
        <xdr:cNvSpPr/>
      </xdr:nvSpPr>
      <xdr:spPr>
        <a:xfrm rot="4928559" flipH="1">
          <a:off x="2347575" y="3884211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786120</xdr:colOff>
      <xdr:row>29</xdr:row>
      <xdr:rowOff>74543</xdr:rowOff>
    </xdr:from>
    <xdr:to>
      <xdr:col>3</xdr:col>
      <xdr:colOff>786120</xdr:colOff>
      <xdr:row>29</xdr:row>
      <xdr:rowOff>1386499</xdr:rowOff>
    </xdr:to>
    <xdr:cxnSp macro="">
      <xdr:nvCxnSpPr>
        <xdr:cNvPr id="83" name="Прямая со стрелкой 8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9170" y="39050843"/>
          <a:ext cx="0" cy="1311956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745127</xdr:colOff>
      <xdr:row>29</xdr:row>
      <xdr:rowOff>1368800</xdr:rowOff>
    </xdr:from>
    <xdr:to>
      <xdr:col>3</xdr:col>
      <xdr:colOff>817127</xdr:colOff>
      <xdr:row>29</xdr:row>
      <xdr:rowOff>1440800</xdr:rowOff>
    </xdr:to>
    <xdr:sp macro="" textlink="">
      <xdr:nvSpPr>
        <xdr:cNvPr id="84" name="Овал 8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8177" y="4034510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959799</xdr:colOff>
      <xdr:row>29</xdr:row>
      <xdr:rowOff>712787</xdr:rowOff>
    </xdr:from>
    <xdr:to>
      <xdr:col>3</xdr:col>
      <xdr:colOff>1031799</xdr:colOff>
      <xdr:row>29</xdr:row>
      <xdr:rowOff>784787</xdr:rowOff>
    </xdr:to>
    <xdr:sp macro="" textlink="">
      <xdr:nvSpPr>
        <xdr:cNvPr id="85" name="5-конечная звезда 8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02849" y="396890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525355</xdr:colOff>
      <xdr:row>29</xdr:row>
      <xdr:rowOff>720114</xdr:rowOff>
    </xdr:from>
    <xdr:to>
      <xdr:col>3</xdr:col>
      <xdr:colOff>597355</xdr:colOff>
      <xdr:row>29</xdr:row>
      <xdr:rowOff>792114</xdr:rowOff>
    </xdr:to>
    <xdr:sp macro="" textlink="">
      <xdr:nvSpPr>
        <xdr:cNvPr id="86" name="5-конечная звезда 85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68405" y="3969641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952500</xdr:colOff>
      <xdr:row>29</xdr:row>
      <xdr:rowOff>99391</xdr:rowOff>
    </xdr:from>
    <xdr:ext cx="609653" cy="609653"/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075691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839206</xdr:colOff>
      <xdr:row>6</xdr:row>
      <xdr:rowOff>516950</xdr:rowOff>
    </xdr:from>
    <xdr:to>
      <xdr:col>3</xdr:col>
      <xdr:colOff>1447793</xdr:colOff>
      <xdr:row>6</xdr:row>
      <xdr:rowOff>1106880</xdr:rowOff>
    </xdr:to>
    <xdr:cxnSp macro="">
      <xdr:nvCxnSpPr>
        <xdr:cNvPr id="88" name="Прямая со стрелкой 8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82256" y="4441250"/>
          <a:ext cx="608587" cy="589930"/>
        </a:xfrm>
        <a:prstGeom prst="straightConnector1">
          <a:avLst/>
        </a:prstGeom>
        <a:ln w="19050">
          <a:prstDash val="sysDot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458924</xdr:colOff>
      <xdr:row>6</xdr:row>
      <xdr:rowOff>1044423</xdr:rowOff>
    </xdr:from>
    <xdr:to>
      <xdr:col>3</xdr:col>
      <xdr:colOff>823054</xdr:colOff>
      <xdr:row>6</xdr:row>
      <xdr:rowOff>1138673</xdr:rowOff>
    </xdr:to>
    <xdr:cxnSp macro="">
      <xdr:nvCxnSpPr>
        <xdr:cNvPr id="89" name="Прямая со стрелкой 8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2001974" y="4968723"/>
          <a:ext cx="364130" cy="94250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798604</xdr:colOff>
      <xdr:row>6</xdr:row>
      <xdr:rowOff>1401676</xdr:rowOff>
    </xdr:from>
    <xdr:to>
      <xdr:col>3</xdr:col>
      <xdr:colOff>870604</xdr:colOff>
      <xdr:row>6</xdr:row>
      <xdr:rowOff>1473676</xdr:rowOff>
    </xdr:to>
    <xdr:sp macro="" textlink="">
      <xdr:nvSpPr>
        <xdr:cNvPr id="90" name="Овал 8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341654" y="532597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836287</xdr:colOff>
      <xdr:row>6</xdr:row>
      <xdr:rowOff>149978</xdr:rowOff>
    </xdr:from>
    <xdr:to>
      <xdr:col>3</xdr:col>
      <xdr:colOff>836287</xdr:colOff>
      <xdr:row>6</xdr:row>
      <xdr:rowOff>1434703</xdr:rowOff>
    </xdr:to>
    <xdr:cxnSp macro="">
      <xdr:nvCxnSpPr>
        <xdr:cNvPr id="91" name="Прямая соединительная линия 90"/>
        <xdr:cNvCxnSpPr/>
      </xdr:nvCxnSpPr>
      <xdr:spPr>
        <a:xfrm flipV="1">
          <a:off x="2379337" y="4074278"/>
          <a:ext cx="0" cy="1284725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110769</xdr:colOff>
      <xdr:row>6</xdr:row>
      <xdr:rowOff>176253</xdr:rowOff>
    </xdr:from>
    <xdr:to>
      <xdr:col>9</xdr:col>
      <xdr:colOff>488724</xdr:colOff>
      <xdr:row>6</xdr:row>
      <xdr:rowOff>1488044</xdr:rowOff>
    </xdr:to>
    <xdr:grpSp>
      <xdr:nvGrpSpPr>
        <xdr:cNvPr id="92" name="Группа 91"/>
        <xdr:cNvGrpSpPr/>
      </xdr:nvGrpSpPr>
      <xdr:grpSpPr>
        <a:xfrm rot="1605501">
          <a:off x="6959244" y="4100553"/>
          <a:ext cx="987555" cy="1311791"/>
          <a:chOff x="2043545" y="4037907"/>
          <a:chExt cx="988869" cy="1311791"/>
        </a:xfrm>
      </xdr:grpSpPr>
      <xdr:cxnSp macro="">
        <xdr:nvCxnSpPr>
          <xdr:cNvPr id="93" name="Прямая со стрелкой 92">
            <a:extLst>
              <a:ext uri="{FF2B5EF4-FFF2-40B4-BE49-F238E27FC236}">
                <a16:creationId xmlns:a16="http://schemas.microsoft.com/office/drawing/2014/main" id="{00000000-0008-0000-0900-00004B020000}"/>
              </a:ext>
            </a:extLst>
          </xdr:cNvPr>
          <xdr:cNvCxnSpPr/>
        </xdr:nvCxnSpPr>
        <xdr:spPr>
          <a:xfrm flipV="1">
            <a:off x="2423827" y="4404879"/>
            <a:ext cx="608587" cy="589930"/>
          </a:xfrm>
          <a:prstGeom prst="straightConnector1">
            <a:avLst/>
          </a:prstGeom>
          <a:ln w="19050">
            <a:prstDash val="sysDot"/>
            <a:headEnd type="none" w="med" len="lg"/>
            <a:tailEnd type="triangl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4" name="Прямая со стрелкой 93">
            <a:extLst>
              <a:ext uri="{FF2B5EF4-FFF2-40B4-BE49-F238E27FC236}">
                <a16:creationId xmlns:a16="http://schemas.microsoft.com/office/drawing/2014/main" id="{00000000-0008-0000-0900-00004B020000}"/>
              </a:ext>
            </a:extLst>
          </xdr:cNvPr>
          <xdr:cNvCxnSpPr/>
        </xdr:nvCxnSpPr>
        <xdr:spPr>
          <a:xfrm flipH="1">
            <a:off x="2043545" y="4932352"/>
            <a:ext cx="364130" cy="94250"/>
          </a:xfrm>
          <a:prstGeom prst="straightConnector1">
            <a:avLst/>
          </a:prstGeom>
          <a:ln w="19050">
            <a:prstDash val="sysDot"/>
            <a:headEnd type="none" w="med" len="lg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95" name="Овал 94">
            <a:extLst>
              <a:ext uri="{FF2B5EF4-FFF2-40B4-BE49-F238E27FC236}">
                <a16:creationId xmlns:a16="http://schemas.microsoft.com/office/drawing/2014/main" id="{00000000-0008-0000-0900-000034020000}"/>
              </a:ext>
            </a:extLst>
          </xdr:cNvPr>
          <xdr:cNvSpPr/>
        </xdr:nvSpPr>
        <xdr:spPr>
          <a:xfrm rot="166125">
            <a:off x="2472520" y="5277698"/>
            <a:ext cx="72000" cy="72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6" name="Полилиния 95"/>
          <xdr:cNvSpPr/>
        </xdr:nvSpPr>
        <xdr:spPr>
          <a:xfrm>
            <a:off x="2415842" y="4982787"/>
            <a:ext cx="92739" cy="334089"/>
          </a:xfrm>
          <a:custGeom>
            <a:avLst/>
            <a:gdLst>
              <a:gd name="connsiteX0" fmla="*/ 8019 w 91362"/>
              <a:gd name="connsiteY0" fmla="*/ 0 h 398859"/>
              <a:gd name="connsiteX1" fmla="*/ 8019 w 91362"/>
              <a:gd name="connsiteY1" fmla="*/ 232171 h 398859"/>
              <a:gd name="connsiteX2" fmla="*/ 91362 w 91362"/>
              <a:gd name="connsiteY2" fmla="*/ 398859 h 398859"/>
              <a:gd name="connsiteX0" fmla="*/ 2891 w 101474"/>
              <a:gd name="connsiteY0" fmla="*/ 0 h 398859"/>
              <a:gd name="connsiteX1" fmla="*/ 18131 w 101474"/>
              <a:gd name="connsiteY1" fmla="*/ 232171 h 398859"/>
              <a:gd name="connsiteX2" fmla="*/ 101474 w 101474"/>
              <a:gd name="connsiteY2" fmla="*/ 398859 h 398859"/>
              <a:gd name="connsiteX0" fmla="*/ 1709 w 111722"/>
              <a:gd name="connsiteY0" fmla="*/ 0 h 330279"/>
              <a:gd name="connsiteX1" fmla="*/ 28379 w 111722"/>
              <a:gd name="connsiteY1" fmla="*/ 163591 h 330279"/>
              <a:gd name="connsiteX2" fmla="*/ 111722 w 111722"/>
              <a:gd name="connsiteY2" fmla="*/ 330279 h 330279"/>
              <a:gd name="connsiteX0" fmla="*/ 4694 w 95657"/>
              <a:gd name="connsiteY0" fmla="*/ 0 h 334089"/>
              <a:gd name="connsiteX1" fmla="*/ 12314 w 95657"/>
              <a:gd name="connsiteY1" fmla="*/ 167401 h 334089"/>
              <a:gd name="connsiteX2" fmla="*/ 95657 w 95657"/>
              <a:gd name="connsiteY2" fmla="*/ 334089 h 334089"/>
              <a:gd name="connsiteX0" fmla="*/ 1776 w 92739"/>
              <a:gd name="connsiteY0" fmla="*/ 0 h 334089"/>
              <a:gd name="connsiteX1" fmla="*/ 24636 w 92739"/>
              <a:gd name="connsiteY1" fmla="*/ 175021 h 334089"/>
              <a:gd name="connsiteX2" fmla="*/ 92739 w 92739"/>
              <a:gd name="connsiteY2" fmla="*/ 334089 h 33408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92739" h="334089">
                <a:moveTo>
                  <a:pt x="1776" y="0"/>
                </a:moveTo>
                <a:cubicBezTo>
                  <a:pt x="-5169" y="82847"/>
                  <a:pt x="9475" y="119339"/>
                  <a:pt x="24636" y="175021"/>
                </a:cubicBezTo>
                <a:cubicBezTo>
                  <a:pt x="39797" y="230703"/>
                  <a:pt x="58012" y="283983"/>
                  <a:pt x="92739" y="334089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97" name="Полилиния 96"/>
          <xdr:cNvSpPr/>
        </xdr:nvSpPr>
        <xdr:spPr>
          <a:xfrm flipH="1">
            <a:off x="2328212" y="4982787"/>
            <a:ext cx="92739" cy="334089"/>
          </a:xfrm>
          <a:custGeom>
            <a:avLst/>
            <a:gdLst>
              <a:gd name="connsiteX0" fmla="*/ 8019 w 91362"/>
              <a:gd name="connsiteY0" fmla="*/ 0 h 398859"/>
              <a:gd name="connsiteX1" fmla="*/ 8019 w 91362"/>
              <a:gd name="connsiteY1" fmla="*/ 232171 h 398859"/>
              <a:gd name="connsiteX2" fmla="*/ 91362 w 91362"/>
              <a:gd name="connsiteY2" fmla="*/ 398859 h 398859"/>
              <a:gd name="connsiteX0" fmla="*/ 2891 w 101474"/>
              <a:gd name="connsiteY0" fmla="*/ 0 h 398859"/>
              <a:gd name="connsiteX1" fmla="*/ 18131 w 101474"/>
              <a:gd name="connsiteY1" fmla="*/ 232171 h 398859"/>
              <a:gd name="connsiteX2" fmla="*/ 101474 w 101474"/>
              <a:gd name="connsiteY2" fmla="*/ 398859 h 398859"/>
              <a:gd name="connsiteX0" fmla="*/ 1709 w 111722"/>
              <a:gd name="connsiteY0" fmla="*/ 0 h 330279"/>
              <a:gd name="connsiteX1" fmla="*/ 28379 w 111722"/>
              <a:gd name="connsiteY1" fmla="*/ 163591 h 330279"/>
              <a:gd name="connsiteX2" fmla="*/ 111722 w 111722"/>
              <a:gd name="connsiteY2" fmla="*/ 330279 h 330279"/>
              <a:gd name="connsiteX0" fmla="*/ 4694 w 95657"/>
              <a:gd name="connsiteY0" fmla="*/ 0 h 334089"/>
              <a:gd name="connsiteX1" fmla="*/ 12314 w 95657"/>
              <a:gd name="connsiteY1" fmla="*/ 167401 h 334089"/>
              <a:gd name="connsiteX2" fmla="*/ 95657 w 95657"/>
              <a:gd name="connsiteY2" fmla="*/ 334089 h 334089"/>
              <a:gd name="connsiteX0" fmla="*/ 1776 w 92739"/>
              <a:gd name="connsiteY0" fmla="*/ 0 h 334089"/>
              <a:gd name="connsiteX1" fmla="*/ 24636 w 92739"/>
              <a:gd name="connsiteY1" fmla="*/ 175021 h 334089"/>
              <a:gd name="connsiteX2" fmla="*/ 92739 w 92739"/>
              <a:gd name="connsiteY2" fmla="*/ 334089 h 33408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92739" h="334089">
                <a:moveTo>
                  <a:pt x="1776" y="0"/>
                </a:moveTo>
                <a:cubicBezTo>
                  <a:pt x="-5169" y="82847"/>
                  <a:pt x="9475" y="119339"/>
                  <a:pt x="24636" y="175021"/>
                </a:cubicBezTo>
                <a:cubicBezTo>
                  <a:pt x="39797" y="230703"/>
                  <a:pt x="58012" y="283983"/>
                  <a:pt x="92739" y="334089"/>
                </a:cubicBezTo>
              </a:path>
            </a:pathLst>
          </a:custGeom>
          <a:noFill/>
          <a:ln w="19050">
            <a:solidFill>
              <a:schemeClr val="tx1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98" name="Прямая соединительная линия 97"/>
          <xdr:cNvCxnSpPr/>
        </xdr:nvCxnSpPr>
        <xdr:spPr>
          <a:xfrm flipV="1">
            <a:off x="2414845" y="4037907"/>
            <a:ext cx="6063" cy="94488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266700</xdr:colOff>
      <xdr:row>5</xdr:row>
      <xdr:rowOff>1184582</xdr:rowOff>
    </xdr:from>
    <xdr:to>
      <xdr:col>12</xdr:col>
      <xdr:colOff>369404</xdr:colOff>
      <xdr:row>6</xdr:row>
      <xdr:rowOff>1068625</xdr:rowOff>
    </xdr:to>
    <xdr:sp macro="" textlink="">
      <xdr:nvSpPr>
        <xdr:cNvPr id="99" name="Прямоугольник 98"/>
        <xdr:cNvSpPr/>
      </xdr:nvSpPr>
      <xdr:spPr>
        <a:xfrm>
          <a:off x="8867775" y="3584882"/>
          <a:ext cx="712304" cy="1408043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266700</xdr:colOff>
      <xdr:row>5</xdr:row>
      <xdr:rowOff>16734</xdr:rowOff>
    </xdr:from>
    <xdr:to>
      <xdr:col>13</xdr:col>
      <xdr:colOff>41413</xdr:colOff>
      <xdr:row>5</xdr:row>
      <xdr:rowOff>969234</xdr:rowOff>
    </xdr:to>
    <xdr:sp macro="" textlink="">
      <xdr:nvSpPr>
        <xdr:cNvPr id="100" name="Прямоугольник 99"/>
        <xdr:cNvSpPr/>
      </xdr:nvSpPr>
      <xdr:spPr>
        <a:xfrm>
          <a:off x="8867775" y="2417034"/>
          <a:ext cx="993913" cy="952500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323022</xdr:colOff>
      <xdr:row>5</xdr:row>
      <xdr:rowOff>836712</xdr:rowOff>
    </xdr:from>
    <xdr:to>
      <xdr:col>14</xdr:col>
      <xdr:colOff>481755</xdr:colOff>
      <xdr:row>6</xdr:row>
      <xdr:rowOff>671060</xdr:rowOff>
    </xdr:to>
    <xdr:sp macro="" textlink="">
      <xdr:nvSpPr>
        <xdr:cNvPr id="101" name="Прямоугольник 100"/>
        <xdr:cNvSpPr/>
      </xdr:nvSpPr>
      <xdr:spPr>
        <a:xfrm>
          <a:off x="10143297" y="3237012"/>
          <a:ext cx="768333" cy="1358348"/>
        </a:xfrm>
        <a:prstGeom prst="rect">
          <a:avLst/>
        </a:prstGeom>
        <a:solidFill>
          <a:schemeClr val="bg1">
            <a:lumMod val="85000"/>
          </a:schemeClr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12</xdr:col>
      <xdr:colOff>303703</xdr:colOff>
      <xdr:row>5</xdr:row>
      <xdr:rowOff>1146486</xdr:rowOff>
    </xdr:from>
    <xdr:ext cx="676083" cy="1219436"/>
    <xdr:sp macro="" textlink="">
      <xdr:nvSpPr>
        <xdr:cNvPr id="102" name="TextBox 101"/>
        <xdr:cNvSpPr txBox="1"/>
      </xdr:nvSpPr>
      <xdr:spPr>
        <a:xfrm>
          <a:off x="9514378" y="3546786"/>
          <a:ext cx="676083" cy="12194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7200" b="1">
              <a:solidFill>
                <a:schemeClr val="tx2">
                  <a:lumMod val="60000"/>
                  <a:lumOff val="40000"/>
                </a:schemeClr>
              </a:solidFill>
            </a:rPr>
            <a:t>P</a:t>
          </a:r>
          <a:endParaRPr lang="ru-RU" sz="7200" b="1">
            <a:solidFill>
              <a:schemeClr val="tx2">
                <a:lumMod val="60000"/>
                <a:lumOff val="40000"/>
              </a:schemeClr>
            </a:solidFill>
          </a:endParaRPr>
        </a:p>
      </xdr:txBody>
    </xdr:sp>
    <xdr:clientData/>
  </xdr:oneCellAnchor>
  <xdr:twoCellAnchor>
    <xdr:from>
      <xdr:col>13</xdr:col>
      <xdr:colOff>105572</xdr:colOff>
      <xdr:row>5</xdr:row>
      <xdr:rowOff>1235932</xdr:rowOff>
    </xdr:from>
    <xdr:to>
      <xdr:col>13</xdr:col>
      <xdr:colOff>105572</xdr:colOff>
      <xdr:row>6</xdr:row>
      <xdr:rowOff>1023888</xdr:rowOff>
    </xdr:to>
    <xdr:cxnSp macro="">
      <xdr:nvCxnSpPr>
        <xdr:cNvPr id="103" name="Прямая со стрелкой 10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925847" y="3636232"/>
          <a:ext cx="0" cy="1311956"/>
        </a:xfrm>
        <a:prstGeom prst="straightConnector1">
          <a:avLst/>
        </a:prstGeom>
        <a:ln w="34925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484920</xdr:colOff>
      <xdr:row>5</xdr:row>
      <xdr:rowOff>179515</xdr:rowOff>
    </xdr:from>
    <xdr:ext cx="609653" cy="609653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5995" y="2579815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13</xdr:col>
      <xdr:colOff>20718</xdr:colOff>
      <xdr:row>6</xdr:row>
      <xdr:rowOff>927853</xdr:rowOff>
    </xdr:from>
    <xdr:to>
      <xdr:col>13</xdr:col>
      <xdr:colOff>165604</xdr:colOff>
      <xdr:row>6</xdr:row>
      <xdr:rowOff>1071734</xdr:rowOff>
    </xdr:to>
    <xdr:sp macro="" textlink="">
      <xdr:nvSpPr>
        <xdr:cNvPr id="105" name="Овал 10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9840993" y="4852153"/>
          <a:ext cx="144886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363004</xdr:colOff>
      <xdr:row>5</xdr:row>
      <xdr:rowOff>9525</xdr:rowOff>
    </xdr:from>
    <xdr:to>
      <xdr:col>17</xdr:col>
      <xdr:colOff>573285</xdr:colOff>
      <xdr:row>5</xdr:row>
      <xdr:rowOff>1412026</xdr:rowOff>
    </xdr:to>
    <xdr:sp macro="" textlink="">
      <xdr:nvSpPr>
        <xdr:cNvPr id="106" name="TextBox 105"/>
        <xdr:cNvSpPr txBox="1"/>
      </xdr:nvSpPr>
      <xdr:spPr>
        <a:xfrm>
          <a:off x="11402479" y="2409825"/>
          <a:ext cx="1429481" cy="1402501"/>
        </a:xfrm>
        <a:prstGeom prst="rect">
          <a:avLst/>
        </a:prstGeom>
        <a:solidFill>
          <a:schemeClr val="bg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600" b="1"/>
            <a:t>КВ</a:t>
          </a:r>
          <a:r>
            <a:rPr lang="en-US" sz="1600" b="1"/>
            <a:t> </a:t>
          </a:r>
          <a:r>
            <a:rPr lang="ru-RU" sz="1600" b="1"/>
            <a:t>3</a:t>
          </a:r>
          <a:r>
            <a:rPr lang="en-US" sz="1600" b="1"/>
            <a:t> </a:t>
          </a:r>
          <a:r>
            <a:rPr lang="ru-RU" sz="1600" b="1"/>
            <a:t>Финиш</a:t>
          </a:r>
        </a:p>
        <a:p>
          <a:pPr algn="l"/>
          <a:endParaRPr lang="ru-RU" sz="1600" b="1"/>
        </a:p>
        <a:p>
          <a:pPr algn="l"/>
          <a:r>
            <a:rPr lang="ru-RU" sz="1600" b="1"/>
            <a:t>Отметка в КК - в картинг клубе</a:t>
          </a:r>
          <a:endParaRPr lang="en-US" sz="16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172745</xdr:colOff>
      <xdr:row>5</xdr:row>
      <xdr:rowOff>364754</xdr:rowOff>
    </xdr:from>
    <xdr:to>
      <xdr:col>15</xdr:col>
      <xdr:colOff>379874</xdr:colOff>
      <xdr:row>5</xdr:row>
      <xdr:rowOff>871833</xdr:rowOff>
    </xdr:to>
    <xdr:sp macro="" textlink="">
      <xdr:nvSpPr>
        <xdr:cNvPr id="107" name="Полилиния 106"/>
        <xdr:cNvSpPr/>
      </xdr:nvSpPr>
      <xdr:spPr>
        <a:xfrm>
          <a:off x="9993020" y="2765054"/>
          <a:ext cx="1426329" cy="507079"/>
        </a:xfrm>
        <a:custGeom>
          <a:avLst/>
          <a:gdLst>
            <a:gd name="connsiteX0" fmla="*/ 343580 w 343580"/>
            <a:gd name="connsiteY0" fmla="*/ 0 h 496660"/>
            <a:gd name="connsiteX1" fmla="*/ 0 w 343580"/>
            <a:gd name="connsiteY1" fmla="*/ 496660 h 496660"/>
            <a:gd name="connsiteX2" fmla="*/ 340178 w 343580"/>
            <a:gd name="connsiteY2" fmla="*/ 425223 h 496660"/>
            <a:gd name="connsiteX3" fmla="*/ 343580 w 343580"/>
            <a:gd name="connsiteY3" fmla="*/ 0 h 496660"/>
            <a:gd name="connsiteX0" fmla="*/ 343580 w 343580"/>
            <a:gd name="connsiteY0" fmla="*/ 0 h 541981"/>
            <a:gd name="connsiteX1" fmla="*/ 0 w 343580"/>
            <a:gd name="connsiteY1" fmla="*/ 496660 h 541981"/>
            <a:gd name="connsiteX2" fmla="*/ 278726 w 343580"/>
            <a:gd name="connsiteY2" fmla="*/ 541981 h 541981"/>
            <a:gd name="connsiteX3" fmla="*/ 343580 w 343580"/>
            <a:gd name="connsiteY3" fmla="*/ 0 h 541981"/>
            <a:gd name="connsiteX0" fmla="*/ 349725 w 349725"/>
            <a:gd name="connsiteY0" fmla="*/ 0 h 581924"/>
            <a:gd name="connsiteX1" fmla="*/ 0 w 349725"/>
            <a:gd name="connsiteY1" fmla="*/ 536603 h 581924"/>
            <a:gd name="connsiteX2" fmla="*/ 278726 w 349725"/>
            <a:gd name="connsiteY2" fmla="*/ 581924 h 581924"/>
            <a:gd name="connsiteX3" fmla="*/ 349725 w 349725"/>
            <a:gd name="connsiteY3" fmla="*/ 0 h 581924"/>
            <a:gd name="connsiteX0" fmla="*/ 349725 w 349725"/>
            <a:gd name="connsiteY0" fmla="*/ 0 h 536603"/>
            <a:gd name="connsiteX1" fmla="*/ 0 w 349725"/>
            <a:gd name="connsiteY1" fmla="*/ 536603 h 536603"/>
            <a:gd name="connsiteX2" fmla="*/ 343250 w 349725"/>
            <a:gd name="connsiteY2" fmla="*/ 480529 h 536603"/>
            <a:gd name="connsiteX3" fmla="*/ 349725 w 349725"/>
            <a:gd name="connsiteY3" fmla="*/ 0 h 536603"/>
            <a:gd name="connsiteX0" fmla="*/ 349725 w 349725"/>
            <a:gd name="connsiteY0" fmla="*/ 0 h 374678"/>
            <a:gd name="connsiteX1" fmla="*/ 0 w 349725"/>
            <a:gd name="connsiteY1" fmla="*/ 374678 h 374678"/>
            <a:gd name="connsiteX2" fmla="*/ 343250 w 349725"/>
            <a:gd name="connsiteY2" fmla="*/ 318604 h 374678"/>
            <a:gd name="connsiteX3" fmla="*/ 349725 w 349725"/>
            <a:gd name="connsiteY3" fmla="*/ 0 h 374678"/>
            <a:gd name="connsiteX0" fmla="*/ 1015475 w 1015475"/>
            <a:gd name="connsiteY0" fmla="*/ 0 h 359142"/>
            <a:gd name="connsiteX1" fmla="*/ 0 w 1015475"/>
            <a:gd name="connsiteY1" fmla="*/ 359142 h 359142"/>
            <a:gd name="connsiteX2" fmla="*/ 1009000 w 1015475"/>
            <a:gd name="connsiteY2" fmla="*/ 318604 h 359142"/>
            <a:gd name="connsiteX3" fmla="*/ 1015475 w 1015475"/>
            <a:gd name="connsiteY3" fmla="*/ 0 h 359142"/>
            <a:gd name="connsiteX0" fmla="*/ 1073366 w 1073366"/>
            <a:gd name="connsiteY0" fmla="*/ 0 h 359142"/>
            <a:gd name="connsiteX1" fmla="*/ 0 w 1073366"/>
            <a:gd name="connsiteY1" fmla="*/ 359142 h 359142"/>
            <a:gd name="connsiteX2" fmla="*/ 1066891 w 1073366"/>
            <a:gd name="connsiteY2" fmla="*/ 318604 h 359142"/>
            <a:gd name="connsiteX3" fmla="*/ 1073366 w 1073366"/>
            <a:gd name="connsiteY3" fmla="*/ 0 h 359142"/>
            <a:gd name="connsiteX0" fmla="*/ 1073366 w 1075130"/>
            <a:gd name="connsiteY0" fmla="*/ 0 h 899078"/>
            <a:gd name="connsiteX1" fmla="*/ 0 w 1075130"/>
            <a:gd name="connsiteY1" fmla="*/ 359142 h 899078"/>
            <a:gd name="connsiteX2" fmla="*/ 1074624 w 1075130"/>
            <a:gd name="connsiteY2" fmla="*/ 898634 h 899078"/>
            <a:gd name="connsiteX3" fmla="*/ 1073366 w 1075130"/>
            <a:gd name="connsiteY3" fmla="*/ 0 h 899078"/>
            <a:gd name="connsiteX0" fmla="*/ 1081099 w 1081099"/>
            <a:gd name="connsiteY0" fmla="*/ 63897 h 540381"/>
            <a:gd name="connsiteX1" fmla="*/ 0 w 1081099"/>
            <a:gd name="connsiteY1" fmla="*/ 445 h 540381"/>
            <a:gd name="connsiteX2" fmla="*/ 1074624 w 1081099"/>
            <a:gd name="connsiteY2" fmla="*/ 539937 h 540381"/>
            <a:gd name="connsiteX3" fmla="*/ 1081099 w 1081099"/>
            <a:gd name="connsiteY3" fmla="*/ 63897 h 540381"/>
            <a:gd name="connsiteX0" fmla="*/ 1081099 w 1081099"/>
            <a:gd name="connsiteY0" fmla="*/ 63986 h 441126"/>
            <a:gd name="connsiteX1" fmla="*/ 0 w 1081099"/>
            <a:gd name="connsiteY1" fmla="*/ 534 h 441126"/>
            <a:gd name="connsiteX2" fmla="*/ 1066891 w 1081099"/>
            <a:gd name="connsiteY2" fmla="*/ 440593 h 441126"/>
            <a:gd name="connsiteX3" fmla="*/ 1081099 w 1081099"/>
            <a:gd name="connsiteY3" fmla="*/ 63986 h 4411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81099" h="441126">
              <a:moveTo>
                <a:pt x="1081099" y="63986"/>
              </a:moveTo>
              <a:lnTo>
                <a:pt x="0" y="534"/>
              </a:lnTo>
              <a:cubicBezTo>
                <a:pt x="114417" y="-18157"/>
                <a:pt x="952474" y="459284"/>
                <a:pt x="1066891" y="440593"/>
              </a:cubicBezTo>
              <a:cubicBezTo>
                <a:pt x="1069049" y="280417"/>
                <a:pt x="1078941" y="224162"/>
                <a:pt x="1081099" y="63986"/>
              </a:cubicBezTo>
              <a:close/>
            </a:path>
          </a:pathLst>
        </a:cu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12</xdr:col>
      <xdr:colOff>523592</xdr:colOff>
      <xdr:row>6</xdr:row>
      <xdr:rowOff>243690</xdr:rowOff>
    </xdr:from>
    <xdr:to>
      <xdr:col>13</xdr:col>
      <xdr:colOff>57992</xdr:colOff>
      <xdr:row>6</xdr:row>
      <xdr:rowOff>387690</xdr:rowOff>
    </xdr:to>
    <xdr:sp macro="" textlink="">
      <xdr:nvSpPr>
        <xdr:cNvPr id="108" name="5-конечная звезда 107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9734267" y="4167990"/>
          <a:ext cx="144000" cy="144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268876</xdr:colOff>
      <xdr:row>5</xdr:row>
      <xdr:rowOff>1187422</xdr:rowOff>
    </xdr:from>
    <xdr:to>
      <xdr:col>12</xdr:col>
      <xdr:colOff>371580</xdr:colOff>
      <xdr:row>6</xdr:row>
      <xdr:rowOff>1071465</xdr:rowOff>
    </xdr:to>
    <xdr:sp macro="" textlink="">
      <xdr:nvSpPr>
        <xdr:cNvPr id="109" name="Полилиния 108"/>
        <xdr:cNvSpPr/>
      </xdr:nvSpPr>
      <xdr:spPr>
        <a:xfrm>
          <a:off x="8869951" y="3587722"/>
          <a:ext cx="712304" cy="1408043"/>
        </a:xfrm>
        <a:custGeom>
          <a:avLst/>
          <a:gdLst>
            <a:gd name="connsiteX0" fmla="*/ 0 w 712304"/>
            <a:gd name="connsiteY0" fmla="*/ 0 h 1408043"/>
            <a:gd name="connsiteX1" fmla="*/ 712304 w 712304"/>
            <a:gd name="connsiteY1" fmla="*/ 0 h 1408043"/>
            <a:gd name="connsiteX2" fmla="*/ 712304 w 712304"/>
            <a:gd name="connsiteY2" fmla="*/ 1408043 h 140804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12304" h="1408043">
              <a:moveTo>
                <a:pt x="0" y="0"/>
              </a:moveTo>
              <a:lnTo>
                <a:pt x="712304" y="0"/>
              </a:lnTo>
              <a:lnTo>
                <a:pt x="712304" y="1408043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268876</xdr:colOff>
      <xdr:row>5</xdr:row>
      <xdr:rowOff>19574</xdr:rowOff>
    </xdr:from>
    <xdr:to>
      <xdr:col>13</xdr:col>
      <xdr:colOff>43589</xdr:colOff>
      <xdr:row>5</xdr:row>
      <xdr:rowOff>972074</xdr:rowOff>
    </xdr:to>
    <xdr:sp macro="" textlink="">
      <xdr:nvSpPr>
        <xdr:cNvPr id="110" name="Полилиния 109"/>
        <xdr:cNvSpPr/>
      </xdr:nvSpPr>
      <xdr:spPr>
        <a:xfrm>
          <a:off x="8869951" y="2419874"/>
          <a:ext cx="993913" cy="952500"/>
        </a:xfrm>
        <a:custGeom>
          <a:avLst/>
          <a:gdLst>
            <a:gd name="connsiteX0" fmla="*/ 8282 w 993913"/>
            <a:gd name="connsiteY0" fmla="*/ 952500 h 952500"/>
            <a:gd name="connsiteX1" fmla="*/ 993913 w 993913"/>
            <a:gd name="connsiteY1" fmla="*/ 952500 h 952500"/>
            <a:gd name="connsiteX2" fmla="*/ 993913 w 993913"/>
            <a:gd name="connsiteY2" fmla="*/ 0 h 952500"/>
            <a:gd name="connsiteX3" fmla="*/ 0 w 993913"/>
            <a:gd name="connsiteY3" fmla="*/ 0 h 95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93913" h="952500">
              <a:moveTo>
                <a:pt x="8282" y="952500"/>
              </a:moveTo>
              <a:lnTo>
                <a:pt x="993913" y="952500"/>
              </a:lnTo>
              <a:lnTo>
                <a:pt x="993913" y="0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325198</xdr:colOff>
      <xdr:row>5</xdr:row>
      <xdr:rowOff>839552</xdr:rowOff>
    </xdr:from>
    <xdr:to>
      <xdr:col>14</xdr:col>
      <xdr:colOff>483931</xdr:colOff>
      <xdr:row>6</xdr:row>
      <xdr:rowOff>673900</xdr:rowOff>
    </xdr:to>
    <xdr:sp macro="" textlink="">
      <xdr:nvSpPr>
        <xdr:cNvPr id="111" name="Полилиния 110"/>
        <xdr:cNvSpPr/>
      </xdr:nvSpPr>
      <xdr:spPr>
        <a:xfrm>
          <a:off x="10145473" y="3239852"/>
          <a:ext cx="768333" cy="1358348"/>
        </a:xfrm>
        <a:custGeom>
          <a:avLst/>
          <a:gdLst>
            <a:gd name="connsiteX0" fmla="*/ 770282 w 770282"/>
            <a:gd name="connsiteY0" fmla="*/ 0 h 1358348"/>
            <a:gd name="connsiteX1" fmla="*/ 0 w 770282"/>
            <a:gd name="connsiteY1" fmla="*/ 0 h 1358348"/>
            <a:gd name="connsiteX2" fmla="*/ 0 w 770282"/>
            <a:gd name="connsiteY2" fmla="*/ 1358348 h 1358348"/>
            <a:gd name="connsiteX3" fmla="*/ 745434 w 770282"/>
            <a:gd name="connsiteY3" fmla="*/ 1358348 h 13583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70282" h="1358348">
              <a:moveTo>
                <a:pt x="770282" y="0"/>
              </a:moveTo>
              <a:lnTo>
                <a:pt x="0" y="0"/>
              </a:lnTo>
              <a:lnTo>
                <a:pt x="0" y="1358348"/>
              </a:lnTo>
              <a:lnTo>
                <a:pt x="745434" y="1358348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12</xdr:col>
      <xdr:colOff>522666</xdr:colOff>
      <xdr:row>5</xdr:row>
      <xdr:rowOff>975803</xdr:rowOff>
    </xdr:from>
    <xdr:to>
      <xdr:col>13</xdr:col>
      <xdr:colOff>333480</xdr:colOff>
      <xdr:row>5</xdr:row>
      <xdr:rowOff>975803</xdr:rowOff>
    </xdr:to>
    <xdr:cxnSp macro="">
      <xdr:nvCxnSpPr>
        <xdr:cNvPr id="112" name="Прямая соединительная линия 111"/>
        <xdr:cNvCxnSpPr/>
      </xdr:nvCxnSpPr>
      <xdr:spPr>
        <a:xfrm>
          <a:off x="9733341" y="3376103"/>
          <a:ext cx="420414" cy="0"/>
        </a:xfrm>
        <a:prstGeom prst="line">
          <a:avLst/>
        </a:prstGeom>
        <a:ln w="1905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46422</xdr:colOff>
      <xdr:row>5</xdr:row>
      <xdr:rowOff>255369</xdr:rowOff>
    </xdr:from>
    <xdr:to>
      <xdr:col>13</xdr:col>
      <xdr:colOff>147626</xdr:colOff>
      <xdr:row>5</xdr:row>
      <xdr:rowOff>654228</xdr:rowOff>
    </xdr:to>
    <xdr:sp macro="" textlink="">
      <xdr:nvSpPr>
        <xdr:cNvPr id="113" name="Прямоугольник 112"/>
        <xdr:cNvSpPr/>
      </xdr:nvSpPr>
      <xdr:spPr>
        <a:xfrm>
          <a:off x="9866697" y="2655669"/>
          <a:ext cx="101204" cy="398859"/>
        </a:xfrm>
        <a:prstGeom prst="rect">
          <a:avLst/>
        </a:prstGeom>
        <a:solidFill>
          <a:schemeClr val="bg1">
            <a:lumMod val="75000"/>
          </a:schemeClr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160520</xdr:colOff>
      <xdr:row>6</xdr:row>
      <xdr:rowOff>243690</xdr:rowOff>
    </xdr:from>
    <xdr:to>
      <xdr:col>13</xdr:col>
      <xdr:colOff>304520</xdr:colOff>
      <xdr:row>6</xdr:row>
      <xdr:rowOff>387690</xdr:rowOff>
    </xdr:to>
    <xdr:sp macro="" textlink="">
      <xdr:nvSpPr>
        <xdr:cNvPr id="114" name="5-конечная звезда 113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9980795" y="4167990"/>
          <a:ext cx="144000" cy="144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457279</xdr:colOff>
      <xdr:row>1</xdr:row>
      <xdr:rowOff>230167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914479" cy="496867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336177</xdr:colOff>
      <xdr:row>23</xdr:row>
      <xdr:rowOff>123265</xdr:rowOff>
    </xdr:from>
    <xdr:to>
      <xdr:col>9</xdr:col>
      <xdr:colOff>339468</xdr:colOff>
      <xdr:row>31</xdr:row>
      <xdr:rowOff>122551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7" y="7283824"/>
          <a:ext cx="5652737" cy="1523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6210</xdr:rowOff>
    </xdr:from>
    <xdr:to>
      <xdr:col>1</xdr:col>
      <xdr:colOff>19129</xdr:colOff>
      <xdr:row>1</xdr:row>
      <xdr:rowOff>234721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210"/>
          <a:ext cx="914479" cy="49355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141233</xdr:rowOff>
    </xdr:from>
    <xdr:to>
      <xdr:col>8</xdr:col>
      <xdr:colOff>0</xdr:colOff>
      <xdr:row>10</xdr:row>
      <xdr:rowOff>141233</xdr:rowOff>
    </xdr:to>
    <xdr:cxnSp macro="">
      <xdr:nvCxnSpPr>
        <xdr:cNvPr id="10" name="Прямая со стрелко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CxnSpPr/>
      </xdr:nvCxnSpPr>
      <xdr:spPr>
        <a:xfrm>
          <a:off x="2981325" y="1798583"/>
          <a:ext cx="247650" cy="0"/>
        </a:xfrm>
        <a:prstGeom prst="straightConnector1">
          <a:avLst/>
        </a:prstGeom>
        <a:ln w="15875">
          <a:tailEnd type="triangle" w="med" len="lg"/>
        </a:ln>
        <a:effectLst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16</xdr:row>
      <xdr:rowOff>144189</xdr:rowOff>
    </xdr:from>
    <xdr:to>
      <xdr:col>10</xdr:col>
      <xdr:colOff>0</xdr:colOff>
      <xdr:row>16</xdr:row>
      <xdr:rowOff>144189</xdr:rowOff>
    </xdr:to>
    <xdr:cxnSp macro="">
      <xdr:nvCxnSpPr>
        <xdr:cNvPr id="11" name="Прямая со стрелкой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CxnSpPr/>
      </xdr:nvCxnSpPr>
      <xdr:spPr>
        <a:xfrm>
          <a:off x="3183355" y="5899294"/>
          <a:ext cx="1072816" cy="0"/>
        </a:xfrm>
        <a:prstGeom prst="straightConnector1">
          <a:avLst/>
        </a:prstGeom>
        <a:ln w="15875">
          <a:tailEnd type="triangle" w="med" len="lg"/>
        </a:ln>
        <a:effectLst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578427</xdr:colOff>
      <xdr:row>10</xdr:row>
      <xdr:rowOff>144189</xdr:rowOff>
    </xdr:from>
    <xdr:to>
      <xdr:col>10</xdr:col>
      <xdr:colOff>0</xdr:colOff>
      <xdr:row>10</xdr:row>
      <xdr:rowOff>144189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CxnSpPr/>
      </xdr:nvCxnSpPr>
      <xdr:spPr>
        <a:xfrm>
          <a:off x="3544784" y="3443921"/>
          <a:ext cx="584984" cy="0"/>
        </a:xfrm>
        <a:prstGeom prst="straightConnector1">
          <a:avLst/>
        </a:prstGeom>
        <a:ln w="15875">
          <a:tailEnd type="triangle" w="med" len="lg"/>
        </a:ln>
        <a:effectLst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447674</xdr:colOff>
      <xdr:row>6</xdr:row>
      <xdr:rowOff>125329</xdr:rowOff>
    </xdr:from>
    <xdr:to>
      <xdr:col>12</xdr:col>
      <xdr:colOff>300789</xdr:colOff>
      <xdr:row>9</xdr:row>
      <xdr:rowOff>9525</xdr:rowOff>
    </xdr:to>
    <xdr:sp macro="" textlink="">
      <xdr:nvSpPr>
        <xdr:cNvPr id="3" name="Полилиния 2"/>
        <xdr:cNvSpPr/>
      </xdr:nvSpPr>
      <xdr:spPr>
        <a:xfrm>
          <a:off x="2981324" y="1249279"/>
          <a:ext cx="2272465" cy="684296"/>
        </a:xfrm>
        <a:custGeom>
          <a:avLst/>
          <a:gdLst>
            <a:gd name="connsiteX0" fmla="*/ 0 w 3338763"/>
            <a:gd name="connsiteY0" fmla="*/ 0 h 396040"/>
            <a:gd name="connsiteX1" fmla="*/ 3338763 w 3338763"/>
            <a:gd name="connsiteY1" fmla="*/ 0 h 396040"/>
            <a:gd name="connsiteX2" fmla="*/ 3338763 w 3338763"/>
            <a:gd name="connsiteY2" fmla="*/ 396040 h 3960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38763" h="396040">
              <a:moveTo>
                <a:pt x="0" y="0"/>
              </a:moveTo>
              <a:lnTo>
                <a:pt x="3338763" y="0"/>
              </a:lnTo>
              <a:lnTo>
                <a:pt x="3338763" y="39604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1617</xdr:colOff>
      <xdr:row>10</xdr:row>
      <xdr:rowOff>0</xdr:rowOff>
    </xdr:from>
    <xdr:to>
      <xdr:col>12</xdr:col>
      <xdr:colOff>293077</xdr:colOff>
      <xdr:row>12</xdr:row>
      <xdr:rowOff>85224</xdr:rowOff>
    </xdr:to>
    <xdr:sp macro="" textlink="">
      <xdr:nvSpPr>
        <xdr:cNvPr id="4" name="Полилиния 3"/>
        <xdr:cNvSpPr/>
      </xdr:nvSpPr>
      <xdr:spPr>
        <a:xfrm>
          <a:off x="1906617" y="2190750"/>
          <a:ext cx="3339460" cy="618624"/>
        </a:xfrm>
        <a:custGeom>
          <a:avLst/>
          <a:gdLst>
            <a:gd name="connsiteX0" fmla="*/ 3318711 w 3318711"/>
            <a:gd name="connsiteY0" fmla="*/ 0 h 350921"/>
            <a:gd name="connsiteX1" fmla="*/ 3318711 w 3318711"/>
            <a:gd name="connsiteY1" fmla="*/ 350921 h 350921"/>
            <a:gd name="connsiteX2" fmla="*/ 0 w 3318711"/>
            <a:gd name="connsiteY2" fmla="*/ 350921 h 3509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18711" h="350921">
              <a:moveTo>
                <a:pt x="3318711" y="0"/>
              </a:moveTo>
              <a:lnTo>
                <a:pt x="3318711" y="350921"/>
              </a:lnTo>
              <a:lnTo>
                <a:pt x="0" y="350921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0</xdr:colOff>
      <xdr:row>14</xdr:row>
      <xdr:rowOff>141233</xdr:rowOff>
    </xdr:from>
    <xdr:to>
      <xdr:col>8</xdr:col>
      <xdr:colOff>0</xdr:colOff>
      <xdr:row>14</xdr:row>
      <xdr:rowOff>141233</xdr:rowOff>
    </xdr:to>
    <xdr:cxnSp macro="">
      <xdr:nvCxnSpPr>
        <xdr:cNvPr id="33" name="Прямая со стрелкой 3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CxnSpPr/>
      </xdr:nvCxnSpPr>
      <xdr:spPr>
        <a:xfrm>
          <a:off x="2982058" y="1782464"/>
          <a:ext cx="249115" cy="0"/>
        </a:xfrm>
        <a:prstGeom prst="straightConnector1">
          <a:avLst/>
        </a:prstGeom>
        <a:ln w="15875">
          <a:tailEnd type="triangle" w="med" len="lg"/>
        </a:ln>
        <a:effectLst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578427</xdr:colOff>
      <xdr:row>14</xdr:row>
      <xdr:rowOff>144189</xdr:rowOff>
    </xdr:from>
    <xdr:to>
      <xdr:col>10</xdr:col>
      <xdr:colOff>0</xdr:colOff>
      <xdr:row>14</xdr:row>
      <xdr:rowOff>144189</xdr:rowOff>
    </xdr:to>
    <xdr:cxnSp macro="">
      <xdr:nvCxnSpPr>
        <xdr:cNvPr id="34" name="Прямая со стрелкой 33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CxnSpPr/>
      </xdr:nvCxnSpPr>
      <xdr:spPr>
        <a:xfrm>
          <a:off x="3809600" y="1785420"/>
          <a:ext cx="249515" cy="0"/>
        </a:xfrm>
        <a:prstGeom prst="straightConnector1">
          <a:avLst/>
        </a:prstGeom>
        <a:ln w="15875">
          <a:tailEnd type="triangle" w="med" len="lg"/>
        </a:ln>
        <a:effectLst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12</xdr:row>
      <xdr:rowOff>191965</xdr:rowOff>
    </xdr:from>
    <xdr:to>
      <xdr:col>12</xdr:col>
      <xdr:colOff>300789</xdr:colOff>
      <xdr:row>15</xdr:row>
      <xdr:rowOff>0</xdr:rowOff>
    </xdr:to>
    <xdr:sp macro="" textlink="">
      <xdr:nvSpPr>
        <xdr:cNvPr id="35" name="Полилиния 34"/>
        <xdr:cNvSpPr/>
      </xdr:nvSpPr>
      <xdr:spPr>
        <a:xfrm>
          <a:off x="1905000" y="2916115"/>
          <a:ext cx="3348789" cy="608135"/>
        </a:xfrm>
        <a:custGeom>
          <a:avLst/>
          <a:gdLst>
            <a:gd name="connsiteX0" fmla="*/ 0 w 3338763"/>
            <a:gd name="connsiteY0" fmla="*/ 0 h 396040"/>
            <a:gd name="connsiteX1" fmla="*/ 3338763 w 3338763"/>
            <a:gd name="connsiteY1" fmla="*/ 0 h 396040"/>
            <a:gd name="connsiteX2" fmla="*/ 3338763 w 3338763"/>
            <a:gd name="connsiteY2" fmla="*/ 396040 h 3960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38763" h="396040">
              <a:moveTo>
                <a:pt x="0" y="0"/>
              </a:moveTo>
              <a:lnTo>
                <a:pt x="3338763" y="0"/>
              </a:lnTo>
              <a:lnTo>
                <a:pt x="3338763" y="39604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2350</xdr:colOff>
      <xdr:row>16</xdr:row>
      <xdr:rowOff>7327</xdr:rowOff>
    </xdr:from>
    <xdr:to>
      <xdr:col>12</xdr:col>
      <xdr:colOff>293077</xdr:colOff>
      <xdr:row>18</xdr:row>
      <xdr:rowOff>85223</xdr:rowOff>
    </xdr:to>
    <xdr:sp macro="" textlink="">
      <xdr:nvSpPr>
        <xdr:cNvPr id="36" name="Полилиния 35"/>
        <xdr:cNvSpPr/>
      </xdr:nvSpPr>
      <xdr:spPr>
        <a:xfrm>
          <a:off x="1907350" y="3231173"/>
          <a:ext cx="3338727" cy="605435"/>
        </a:xfrm>
        <a:custGeom>
          <a:avLst/>
          <a:gdLst>
            <a:gd name="connsiteX0" fmla="*/ 3318711 w 3318711"/>
            <a:gd name="connsiteY0" fmla="*/ 0 h 350921"/>
            <a:gd name="connsiteX1" fmla="*/ 3318711 w 3318711"/>
            <a:gd name="connsiteY1" fmla="*/ 350921 h 350921"/>
            <a:gd name="connsiteX2" fmla="*/ 0 w 3318711"/>
            <a:gd name="connsiteY2" fmla="*/ 350921 h 3509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18711" h="350921">
              <a:moveTo>
                <a:pt x="3318711" y="0"/>
              </a:moveTo>
              <a:lnTo>
                <a:pt x="3318711" y="350921"/>
              </a:lnTo>
              <a:lnTo>
                <a:pt x="0" y="350921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0</xdr:colOff>
      <xdr:row>20</xdr:row>
      <xdr:rowOff>144189</xdr:rowOff>
    </xdr:from>
    <xdr:to>
      <xdr:col>10</xdr:col>
      <xdr:colOff>0</xdr:colOff>
      <xdr:row>20</xdr:row>
      <xdr:rowOff>144189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CxnSpPr/>
      </xdr:nvCxnSpPr>
      <xdr:spPr>
        <a:xfrm>
          <a:off x="2982058" y="3368035"/>
          <a:ext cx="1077057" cy="0"/>
        </a:xfrm>
        <a:prstGeom prst="straightConnector1">
          <a:avLst/>
        </a:prstGeom>
        <a:ln w="15875">
          <a:tailEnd type="triangle" w="med" len="lg"/>
        </a:ln>
        <a:effectLst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18</xdr:row>
      <xdr:rowOff>197827</xdr:rowOff>
    </xdr:from>
    <xdr:to>
      <xdr:col>12</xdr:col>
      <xdr:colOff>300789</xdr:colOff>
      <xdr:row>20</xdr:row>
      <xdr:rowOff>1</xdr:rowOff>
    </xdr:to>
    <xdr:sp macro="" textlink="">
      <xdr:nvSpPr>
        <xdr:cNvPr id="42" name="Полилиния 41"/>
        <xdr:cNvSpPr/>
      </xdr:nvSpPr>
      <xdr:spPr>
        <a:xfrm>
          <a:off x="1905000" y="3949212"/>
          <a:ext cx="3348789" cy="329712"/>
        </a:xfrm>
        <a:custGeom>
          <a:avLst/>
          <a:gdLst>
            <a:gd name="connsiteX0" fmla="*/ 0 w 3338763"/>
            <a:gd name="connsiteY0" fmla="*/ 0 h 396040"/>
            <a:gd name="connsiteX1" fmla="*/ 3338763 w 3338763"/>
            <a:gd name="connsiteY1" fmla="*/ 0 h 396040"/>
            <a:gd name="connsiteX2" fmla="*/ 3338763 w 3338763"/>
            <a:gd name="connsiteY2" fmla="*/ 396040 h 3960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38763" h="396040">
              <a:moveTo>
                <a:pt x="0" y="0"/>
              </a:moveTo>
              <a:lnTo>
                <a:pt x="3338763" y="0"/>
              </a:lnTo>
              <a:lnTo>
                <a:pt x="3338763" y="39604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2350</xdr:colOff>
      <xdr:row>20</xdr:row>
      <xdr:rowOff>256442</xdr:rowOff>
    </xdr:from>
    <xdr:to>
      <xdr:col>12</xdr:col>
      <xdr:colOff>293077</xdr:colOff>
      <xdr:row>22</xdr:row>
      <xdr:rowOff>129184</xdr:rowOff>
    </xdr:to>
    <xdr:sp macro="" textlink="">
      <xdr:nvSpPr>
        <xdr:cNvPr id="43" name="Полилиния 42"/>
        <xdr:cNvSpPr/>
      </xdr:nvSpPr>
      <xdr:spPr>
        <a:xfrm>
          <a:off x="1907350" y="4535365"/>
          <a:ext cx="3338727" cy="400281"/>
        </a:xfrm>
        <a:custGeom>
          <a:avLst/>
          <a:gdLst>
            <a:gd name="connsiteX0" fmla="*/ 3318711 w 3318711"/>
            <a:gd name="connsiteY0" fmla="*/ 0 h 350921"/>
            <a:gd name="connsiteX1" fmla="*/ 3318711 w 3318711"/>
            <a:gd name="connsiteY1" fmla="*/ 350921 h 350921"/>
            <a:gd name="connsiteX2" fmla="*/ 0 w 3318711"/>
            <a:gd name="connsiteY2" fmla="*/ 350921 h 3509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318711" h="350921">
              <a:moveTo>
                <a:pt x="3318711" y="0"/>
              </a:moveTo>
              <a:lnTo>
                <a:pt x="3318711" y="350921"/>
              </a:lnTo>
              <a:lnTo>
                <a:pt x="0" y="350921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0</xdr:colOff>
      <xdr:row>8</xdr:row>
      <xdr:rowOff>144189</xdr:rowOff>
    </xdr:from>
    <xdr:to>
      <xdr:col>10</xdr:col>
      <xdr:colOff>0</xdr:colOff>
      <xdr:row>8</xdr:row>
      <xdr:rowOff>144189</xdr:rowOff>
    </xdr:to>
    <xdr:cxnSp macro="">
      <xdr:nvCxnSpPr>
        <xdr:cNvPr id="47" name="Прямая со стрелкой 46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CxnSpPr/>
      </xdr:nvCxnSpPr>
      <xdr:spPr>
        <a:xfrm>
          <a:off x="2981325" y="5001939"/>
          <a:ext cx="1076325" cy="0"/>
        </a:xfrm>
        <a:prstGeom prst="straightConnector1">
          <a:avLst/>
        </a:prstGeom>
        <a:ln w="15875">
          <a:tailEnd type="triangle" w="med" len="lg"/>
        </a:ln>
        <a:effectLst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380999</xdr:colOff>
      <xdr:row>39</xdr:row>
      <xdr:rowOff>113571</xdr:rowOff>
    </xdr:from>
    <xdr:to>
      <xdr:col>9</xdr:col>
      <xdr:colOff>190500</xdr:colOff>
      <xdr:row>47</xdr:row>
      <xdr:rowOff>23298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9" y="17982471"/>
          <a:ext cx="5295901" cy="1433727"/>
        </a:xfrm>
        <a:prstGeom prst="rect">
          <a:avLst/>
        </a:prstGeom>
      </xdr:spPr>
    </xdr:pic>
    <xdr:clientData/>
  </xdr:twoCellAnchor>
  <xdr:twoCellAnchor editAs="oneCell">
    <xdr:from>
      <xdr:col>0</xdr:col>
      <xdr:colOff>95248</xdr:colOff>
      <xdr:row>14</xdr:row>
      <xdr:rowOff>54430</xdr:rowOff>
    </xdr:from>
    <xdr:to>
      <xdr:col>9</xdr:col>
      <xdr:colOff>339478</xdr:colOff>
      <xdr:row>30</xdr:row>
      <xdr:rowOff>127853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8" y="3048001"/>
          <a:ext cx="5755123" cy="31214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416483</xdr:colOff>
      <xdr:row>13</xdr:row>
      <xdr:rowOff>24023</xdr:rowOff>
    </xdr:from>
    <xdr:to>
      <xdr:col>1</xdr:col>
      <xdr:colOff>238648</xdr:colOff>
      <xdr:row>13</xdr:row>
      <xdr:rowOff>358889</xdr:rowOff>
    </xdr:to>
    <xdr:sp macro="" textlink="">
      <xdr:nvSpPr>
        <xdr:cNvPr id="4" name="Прямоугольни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16483" y="23341223"/>
          <a:ext cx="431765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600" b="1">
              <a:solidFill>
                <a:sysClr val="windowText" lastClr="000000"/>
              </a:solidFill>
            </a:rPr>
            <a:t>P</a:t>
          </a:r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46177</xdr:colOff>
      <xdr:row>8</xdr:row>
      <xdr:rowOff>190959</xdr:rowOff>
    </xdr:from>
    <xdr:to>
      <xdr:col>1</xdr:col>
      <xdr:colOff>554357</xdr:colOff>
      <xdr:row>8</xdr:row>
      <xdr:rowOff>190959</xdr:rowOff>
    </xdr:to>
    <xdr:cxnSp macro="">
      <xdr:nvCxnSpPr>
        <xdr:cNvPr id="5" name="Прямая со стрелкой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>
          <a:off x="655777" y="22365159"/>
          <a:ext cx="508180" cy="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36652</xdr:colOff>
      <xdr:row>9</xdr:row>
      <xdr:rowOff>171909</xdr:rowOff>
    </xdr:from>
    <xdr:to>
      <xdr:col>1</xdr:col>
      <xdr:colOff>552676</xdr:colOff>
      <xdr:row>9</xdr:row>
      <xdr:rowOff>171909</xdr:rowOff>
    </xdr:to>
    <xdr:cxnSp macro="">
      <xdr:nvCxnSpPr>
        <xdr:cNvPr id="6" name="Прямая со стрелко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CxnSpPr/>
      </xdr:nvCxnSpPr>
      <xdr:spPr>
        <a:xfrm>
          <a:off x="646252" y="22727109"/>
          <a:ext cx="516024" cy="0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242785</xdr:colOff>
      <xdr:row>6</xdr:row>
      <xdr:rowOff>180975</xdr:rowOff>
    </xdr:from>
    <xdr:to>
      <xdr:col>1</xdr:col>
      <xdr:colOff>314785</xdr:colOff>
      <xdr:row>6</xdr:row>
      <xdr:rowOff>252975</xdr:rowOff>
    </xdr:to>
    <xdr:sp macro="" textlink="">
      <xdr:nvSpPr>
        <xdr:cNvPr id="7" name="Овал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852385" y="2159317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291652</xdr:colOff>
      <xdr:row>7</xdr:row>
      <xdr:rowOff>66675</xdr:rowOff>
    </xdr:from>
    <xdr:to>
      <xdr:col>1</xdr:col>
      <xdr:colOff>291652</xdr:colOff>
      <xdr:row>7</xdr:row>
      <xdr:rowOff>333375</xdr:rowOff>
    </xdr:to>
    <xdr:cxnSp macro="">
      <xdr:nvCxnSpPr>
        <xdr:cNvPr id="8" name="Прямая со стрелко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 flipV="1">
          <a:off x="901252" y="21859875"/>
          <a:ext cx="0" cy="26670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83253</xdr:colOff>
      <xdr:row>14</xdr:row>
      <xdr:rowOff>104808</xdr:rowOff>
    </xdr:from>
    <xdr:to>
      <xdr:col>1</xdr:col>
      <xdr:colOff>473164</xdr:colOff>
      <xdr:row>14</xdr:row>
      <xdr:rowOff>274860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pSpPr/>
      </xdr:nvGrpSpPr>
      <xdr:grpSpPr>
        <a:xfrm>
          <a:off x="692853" y="4181508"/>
          <a:ext cx="389911" cy="170052"/>
          <a:chOff x="3482046" y="27087347"/>
          <a:chExt cx="386893" cy="170052"/>
        </a:xfrm>
      </xdr:grpSpPr>
      <xdr:cxnSp macro="">
        <xdr:nvCxnSpPr>
          <xdr:cNvPr id="10" name="Прямая соединительная линия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CxnSpPr/>
        </xdr:nvCxnSpPr>
        <xdr:spPr>
          <a:xfrm>
            <a:off x="3538608" y="27145344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Прямая соединительная линия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CxnSpPr/>
        </xdr:nvCxnSpPr>
        <xdr:spPr>
          <a:xfrm>
            <a:off x="3482046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Прямая соединительная линия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CxnSpPr/>
        </xdr:nvCxnSpPr>
        <xdr:spPr>
          <a:xfrm flipH="1">
            <a:off x="3808141" y="27087347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Прямая соединительная линия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CxnSpPr/>
        </xdr:nvCxnSpPr>
        <xdr:spPr>
          <a:xfrm flipV="1">
            <a:off x="3538608" y="27199402"/>
            <a:ext cx="273843" cy="0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Прямая соединительная линия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CxnSpPr/>
        </xdr:nvCxnSpPr>
        <xdr:spPr>
          <a:xfrm flipV="1">
            <a:off x="3482046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Прямая соединительная линия 14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CxnSpPr/>
        </xdr:nvCxnSpPr>
        <xdr:spPr>
          <a:xfrm flipH="1" flipV="1">
            <a:off x="3808141" y="27196601"/>
            <a:ext cx="60798" cy="60798"/>
          </a:xfrm>
          <a:prstGeom prst="line">
            <a:avLst/>
          </a:prstGeom>
          <a:ln w="19050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482983</xdr:colOff>
      <xdr:row>15</xdr:row>
      <xdr:rowOff>56432</xdr:rowOff>
    </xdr:from>
    <xdr:to>
      <xdr:col>2</xdr:col>
      <xdr:colOff>126021</xdr:colOff>
      <xdr:row>15</xdr:row>
      <xdr:rowOff>245224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pSpPr/>
      </xdr:nvGrpSpPr>
      <xdr:grpSpPr>
        <a:xfrm rot="5400000">
          <a:off x="819706" y="4177409"/>
          <a:ext cx="188792" cy="862238"/>
          <a:chOff x="2276355" y="169337185"/>
          <a:chExt cx="182327" cy="1037451"/>
        </a:xfrm>
      </xdr:grpSpPr>
      <xdr:cxnSp macro="">
        <xdr:nvCxnSpPr>
          <xdr:cNvPr id="17" name="Прямая со стрелкой 16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Прямая со стрелкой 17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9" name="Прямая со стрелкой 18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Прямая со стрелкой 19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1" name="Прямая со стрелкой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Прямая со стрелкой 21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3" name="Прямая со стрелкой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4" name="Прямая со стрелкой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5" name="Прямая со стрелкой 24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6" name="Прямая со стрелкой 25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Прямая со стрелкой 26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Прямая со стрелкой 27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" name="Прямая со стрелкой 28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0" name="Прямая со стрелкой 29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1" name="Прямая со стрелкой 30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Прямая со стрелкой 31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3" name="Прямая со стрелкой 32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4" name="Прямая со стрелкой 33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543943</xdr:colOff>
      <xdr:row>24</xdr:row>
      <xdr:rowOff>67580</xdr:rowOff>
    </xdr:from>
    <xdr:to>
      <xdr:col>1</xdr:col>
      <xdr:colOff>183898</xdr:colOff>
      <xdr:row>24</xdr:row>
      <xdr:rowOff>321647</xdr:rowOff>
    </xdr:to>
    <xdr:sp macro="" textlink="">
      <xdr:nvSpPr>
        <xdr:cNvPr id="35" name="Овал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543943" y="7849505"/>
          <a:ext cx="249555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429643</xdr:colOff>
      <xdr:row>30</xdr:row>
      <xdr:rowOff>72092</xdr:rowOff>
    </xdr:from>
    <xdr:to>
      <xdr:col>1</xdr:col>
      <xdr:colOff>69598</xdr:colOff>
      <xdr:row>30</xdr:row>
      <xdr:rowOff>321647</xdr:rowOff>
    </xdr:to>
    <xdr:sp macro="" textlink="">
      <xdr:nvSpPr>
        <xdr:cNvPr id="36" name="Овал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429643" y="10140017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216283</xdr:colOff>
      <xdr:row>30</xdr:row>
      <xdr:rowOff>72092</xdr:rowOff>
    </xdr:from>
    <xdr:to>
      <xdr:col>1</xdr:col>
      <xdr:colOff>468856</xdr:colOff>
      <xdr:row>30</xdr:row>
      <xdr:rowOff>321647</xdr:rowOff>
    </xdr:to>
    <xdr:sp macro="" textlink="">
      <xdr:nvSpPr>
        <xdr:cNvPr id="37" name="Овал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825883" y="10140017"/>
          <a:ext cx="252573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524893</xdr:colOff>
      <xdr:row>25</xdr:row>
      <xdr:rowOff>58183</xdr:rowOff>
    </xdr:from>
    <xdr:to>
      <xdr:col>2</xdr:col>
      <xdr:colOff>144782</xdr:colOff>
      <xdr:row>25</xdr:row>
      <xdr:rowOff>333077</xdr:rowOff>
    </xdr:to>
    <xdr:sp macro="" textlink="">
      <xdr:nvSpPr>
        <xdr:cNvPr id="38" name="Полилиния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524893" y="278807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1</xdr:col>
      <xdr:colOff>305671</xdr:colOff>
      <xdr:row>26</xdr:row>
      <xdr:rowOff>75169</xdr:rowOff>
    </xdr:from>
    <xdr:to>
      <xdr:col>1</xdr:col>
      <xdr:colOff>380406</xdr:colOff>
      <xdr:row>26</xdr:row>
      <xdr:rowOff>262152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CxnSpPr/>
      </xdr:nvCxnSpPr>
      <xdr:spPr>
        <a:xfrm>
          <a:off x="915271" y="28278694"/>
          <a:ext cx="74735" cy="18698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124843</xdr:colOff>
      <xdr:row>27</xdr:row>
      <xdr:rowOff>173057</xdr:rowOff>
    </xdr:from>
    <xdr:to>
      <xdr:col>1</xdr:col>
      <xdr:colOff>155323</xdr:colOff>
      <xdr:row>27</xdr:row>
      <xdr:rowOff>237827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CxnSpPr/>
      </xdr:nvCxnSpPr>
      <xdr:spPr>
        <a:xfrm>
          <a:off x="734443" y="28757582"/>
          <a:ext cx="30480" cy="647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151513</xdr:colOff>
      <xdr:row>27</xdr:row>
      <xdr:rowOff>173057</xdr:rowOff>
    </xdr:from>
    <xdr:to>
      <xdr:col>1</xdr:col>
      <xdr:colOff>520291</xdr:colOff>
      <xdr:row>27</xdr:row>
      <xdr:rowOff>226397</xdr:rowOff>
    </xdr:to>
    <xdr:cxnSp macro="">
      <xdr:nvCxnSpPr>
        <xdr:cNvPr id="41" name="Прямая со стрелкой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CxnSpPr/>
      </xdr:nvCxnSpPr>
      <xdr:spPr>
        <a:xfrm flipV="1">
          <a:off x="761113" y="28757582"/>
          <a:ext cx="368778" cy="53340"/>
        </a:xfrm>
        <a:prstGeom prst="straightConnector1">
          <a:avLst/>
        </a:prstGeom>
        <a:ln w="1905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29</xdr:row>
      <xdr:rowOff>58183</xdr:rowOff>
    </xdr:from>
    <xdr:to>
      <xdr:col>2</xdr:col>
      <xdr:colOff>144782</xdr:colOff>
      <xdr:row>29</xdr:row>
      <xdr:rowOff>333077</xdr:rowOff>
    </xdr:to>
    <xdr:sp macro="" textlink="">
      <xdr:nvSpPr>
        <xdr:cNvPr id="42" name="Полилиния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/>
      </xdr:nvSpPr>
      <xdr:spPr>
        <a:xfrm>
          <a:off x="524893" y="294047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402163</xdr:colOff>
      <xdr:row>29</xdr:row>
      <xdr:rowOff>123698</xdr:rowOff>
    </xdr:from>
    <xdr:to>
      <xdr:col>1</xdr:col>
      <xdr:colOff>414454</xdr:colOff>
      <xdr:row>29</xdr:row>
      <xdr:rowOff>152889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CxnSpPr/>
      </xdr:nvCxnSpPr>
      <xdr:spPr>
        <a:xfrm>
          <a:off x="1011763" y="29470223"/>
          <a:ext cx="12291" cy="2919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562963</xdr:colOff>
      <xdr:row>29</xdr:row>
      <xdr:rowOff>53600</xdr:rowOff>
    </xdr:from>
    <xdr:to>
      <xdr:col>1</xdr:col>
      <xdr:colOff>563578</xdr:colOff>
      <xdr:row>29</xdr:row>
      <xdr:rowOff>86169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CxnSpPr/>
      </xdr:nvCxnSpPr>
      <xdr:spPr>
        <a:xfrm flipV="1">
          <a:off x="1172563" y="29400125"/>
          <a:ext cx="615" cy="3256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524893</xdr:colOff>
      <xdr:row>28</xdr:row>
      <xdr:rowOff>58183</xdr:rowOff>
    </xdr:from>
    <xdr:to>
      <xdr:col>2</xdr:col>
      <xdr:colOff>144782</xdr:colOff>
      <xdr:row>28</xdr:row>
      <xdr:rowOff>333077</xdr:rowOff>
    </xdr:to>
    <xdr:sp macro="" textlink="">
      <xdr:nvSpPr>
        <xdr:cNvPr id="45" name="Полилиния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>
          <a:off x="524893" y="29023708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3571</xdr:colOff>
      <xdr:row>28</xdr:row>
      <xdr:rowOff>132001</xdr:rowOff>
    </xdr:from>
    <xdr:to>
      <xdr:col>2</xdr:col>
      <xdr:colOff>75571</xdr:colOff>
      <xdr:row>28</xdr:row>
      <xdr:rowOff>204001</xdr:rowOff>
    </xdr:to>
    <xdr:sp macro="" textlink="">
      <xdr:nvSpPr>
        <xdr:cNvPr id="46" name="Овал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/>
      </xdr:nvSpPr>
      <xdr:spPr>
        <a:xfrm>
          <a:off x="1222771" y="290975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342900</xdr:colOff>
      <xdr:row>16</xdr:row>
      <xdr:rowOff>37363</xdr:rowOff>
    </xdr:from>
    <xdr:to>
      <xdr:col>1</xdr:col>
      <xdr:colOff>17116</xdr:colOff>
      <xdr:row>16</xdr:row>
      <xdr:rowOff>317454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42900" y="24497563"/>
          <a:ext cx="283816" cy="280091"/>
        </a:xfrm>
        <a:prstGeom prst="ellipse">
          <a:avLst/>
        </a:prstGeom>
        <a:solidFill>
          <a:schemeClr val="bg1"/>
        </a:solidFill>
        <a:ln w="31750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  <a:endParaRPr lang="ru-RU" sz="10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140174</xdr:colOff>
      <xdr:row>16</xdr:row>
      <xdr:rowOff>43228</xdr:rowOff>
    </xdr:from>
    <xdr:to>
      <xdr:col>2</xdr:col>
      <xdr:colOff>439911</xdr:colOff>
      <xdr:row>16</xdr:row>
      <xdr:rowOff>298777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/>
      </xdr:nvSpPr>
      <xdr:spPr>
        <a:xfrm>
          <a:off x="749774" y="24503428"/>
          <a:ext cx="909337" cy="255549"/>
        </a:xfrm>
        <a:prstGeom prst="rect">
          <a:avLst/>
        </a:prstGeom>
        <a:solidFill>
          <a:schemeClr val="bg1"/>
        </a:solidFill>
        <a:ln w="19050">
          <a:solidFill>
            <a:schemeClr val="tx1"/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ru-RU" sz="1100" b="1">
              <a:solidFill>
                <a:sysClr val="windowText" lastClr="000000"/>
              </a:solidFill>
            </a:rPr>
            <a:t>ДЕРЕВНЯ</a:t>
          </a:r>
        </a:p>
      </xdr:txBody>
    </xdr:sp>
    <xdr:clientData/>
  </xdr:twoCellAnchor>
  <xdr:twoCellAnchor>
    <xdr:from>
      <xdr:col>1</xdr:col>
      <xdr:colOff>129367</xdr:colOff>
      <xdr:row>29</xdr:row>
      <xdr:rowOff>205680</xdr:rowOff>
    </xdr:from>
    <xdr:to>
      <xdr:col>1</xdr:col>
      <xdr:colOff>170121</xdr:colOff>
      <xdr:row>29</xdr:row>
      <xdr:rowOff>305854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CxnSpPr/>
      </xdr:nvCxnSpPr>
      <xdr:spPr>
        <a:xfrm flipH="1" flipV="1">
          <a:off x="738967" y="29552205"/>
          <a:ext cx="40754" cy="10017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592457</xdr:colOff>
      <xdr:row>30</xdr:row>
      <xdr:rowOff>73997</xdr:rowOff>
    </xdr:from>
    <xdr:to>
      <xdr:col>2</xdr:col>
      <xdr:colOff>232412</xdr:colOff>
      <xdr:row>30</xdr:row>
      <xdr:rowOff>323552</xdr:rowOff>
    </xdr:to>
    <xdr:sp macro="" textlink="">
      <xdr:nvSpPr>
        <xdr:cNvPr id="50" name="Овал 49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1202057" y="10141922"/>
          <a:ext cx="249555" cy="249555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3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432661</xdr:colOff>
      <xdr:row>24</xdr:row>
      <xdr:rowOff>69485</xdr:rowOff>
    </xdr:from>
    <xdr:to>
      <xdr:col>2</xdr:col>
      <xdr:colOff>74297</xdr:colOff>
      <xdr:row>24</xdr:row>
      <xdr:rowOff>323552</xdr:rowOff>
    </xdr:to>
    <xdr:sp macro="" textlink="">
      <xdr:nvSpPr>
        <xdr:cNvPr id="51" name="Овал 50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/>
      </xdr:nvSpPr>
      <xdr:spPr>
        <a:xfrm>
          <a:off x="1042261" y="7851410"/>
          <a:ext cx="251236" cy="254067"/>
        </a:xfrm>
        <a:prstGeom prst="ellipse">
          <a:avLst/>
        </a:prstGeom>
        <a:solidFill>
          <a:srgbClr val="00B05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n-US" sz="14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</a:t>
          </a:r>
          <a:endParaRPr lang="ru-RU" sz="1400" b="1">
            <a:solidFill>
              <a:sysClr val="windowText" lastClr="00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381399</xdr:colOff>
      <xdr:row>13</xdr:row>
      <xdr:rowOff>24023</xdr:rowOff>
    </xdr:from>
    <xdr:to>
      <xdr:col>2</xdr:col>
      <xdr:colOff>205247</xdr:colOff>
      <xdr:row>13</xdr:row>
      <xdr:rowOff>358889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/>
      </xdr:nvSpPr>
      <xdr:spPr>
        <a:xfrm>
          <a:off x="990999" y="23341223"/>
          <a:ext cx="433448" cy="334866"/>
        </a:xfrm>
        <a:prstGeom prst="rect">
          <a:avLst/>
        </a:prstGeom>
        <a:solidFill>
          <a:schemeClr val="bg1">
            <a:lumMod val="85000"/>
          </a:schemeClr>
        </a:solidFill>
        <a:ln w="0"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502912</xdr:colOff>
      <xdr:row>26</xdr:row>
      <xdr:rowOff>60381</xdr:rowOff>
    </xdr:from>
    <xdr:to>
      <xdr:col>2</xdr:col>
      <xdr:colOff>122801</xdr:colOff>
      <xdr:row>26</xdr:row>
      <xdr:rowOff>335275</xdr:rowOff>
    </xdr:to>
    <xdr:sp macro="" textlink="">
      <xdr:nvSpPr>
        <xdr:cNvPr id="53" name="Полилиния 52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/>
      </xdr:nvSpPr>
      <xdr:spPr>
        <a:xfrm>
          <a:off x="502912" y="28263906"/>
          <a:ext cx="839089" cy="274894"/>
        </a:xfrm>
        <a:custGeom>
          <a:avLst/>
          <a:gdLst>
            <a:gd name="connsiteX0" fmla="*/ 0 w 690771"/>
            <a:gd name="connsiteY0" fmla="*/ 61534 h 274894"/>
            <a:gd name="connsiteX1" fmla="*/ 95250 w 690771"/>
            <a:gd name="connsiteY1" fmla="*/ 225364 h 274894"/>
            <a:gd name="connsiteX2" fmla="*/ 304800 w 690771"/>
            <a:gd name="connsiteY2" fmla="*/ 164404 h 274894"/>
            <a:gd name="connsiteX3" fmla="*/ 499110 w 690771"/>
            <a:gd name="connsiteY3" fmla="*/ 46294 h 274894"/>
            <a:gd name="connsiteX4" fmla="*/ 643890 w 690771"/>
            <a:gd name="connsiteY4" fmla="*/ 8194 h 274894"/>
            <a:gd name="connsiteX5" fmla="*/ 681990 w 690771"/>
            <a:gd name="connsiteY5" fmla="*/ 194884 h 274894"/>
            <a:gd name="connsiteX6" fmla="*/ 495300 w 690771"/>
            <a:gd name="connsiteY6" fmla="*/ 274894 h 27489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90771" h="274894">
              <a:moveTo>
                <a:pt x="0" y="61534"/>
              </a:moveTo>
              <a:cubicBezTo>
                <a:pt x="22225" y="134876"/>
                <a:pt x="44450" y="208219"/>
                <a:pt x="95250" y="225364"/>
              </a:cubicBezTo>
              <a:cubicBezTo>
                <a:pt x="146050" y="242509"/>
                <a:pt x="237490" y="194249"/>
                <a:pt x="304800" y="164404"/>
              </a:cubicBezTo>
              <a:cubicBezTo>
                <a:pt x="372110" y="134559"/>
                <a:pt x="442595" y="72329"/>
                <a:pt x="499110" y="46294"/>
              </a:cubicBezTo>
              <a:cubicBezTo>
                <a:pt x="555625" y="20259"/>
                <a:pt x="613410" y="-16571"/>
                <a:pt x="643890" y="8194"/>
              </a:cubicBezTo>
              <a:cubicBezTo>
                <a:pt x="674370" y="32959"/>
                <a:pt x="706755" y="150434"/>
                <a:pt x="681990" y="194884"/>
              </a:cubicBezTo>
              <a:cubicBezTo>
                <a:pt x="657225" y="239334"/>
                <a:pt x="530225" y="260924"/>
                <a:pt x="495300" y="274894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м</a:t>
          </a:r>
        </a:p>
      </xdr:txBody>
    </xdr:sp>
    <xdr:clientData/>
  </xdr:twoCellAnchor>
  <xdr:twoCellAnchor>
    <xdr:from>
      <xdr:col>0</xdr:col>
      <xdr:colOff>342900</xdr:colOff>
      <xdr:row>17</xdr:row>
      <xdr:rowOff>28844</xdr:rowOff>
    </xdr:from>
    <xdr:to>
      <xdr:col>1</xdr:col>
      <xdr:colOff>17116</xdr:colOff>
      <xdr:row>17</xdr:row>
      <xdr:rowOff>372222</xdr:rowOff>
    </xdr:to>
    <xdr:grpSp>
      <xdr:nvGrpSpPr>
        <xdr:cNvPr id="86" name="Группа 85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GrpSpPr/>
      </xdr:nvGrpSpPr>
      <xdr:grpSpPr>
        <a:xfrm>
          <a:off x="342900" y="5248544"/>
          <a:ext cx="283816" cy="343378"/>
          <a:chOff x="342900" y="4529810"/>
          <a:chExt cx="284462" cy="343378"/>
        </a:xfrm>
      </xdr:grpSpPr>
      <xdr:sp macro="" textlink="">
        <xdr:nvSpPr>
          <xdr:cNvPr id="55" name="Овал 54">
            <a:extLst>
              <a:ext uri="{FF2B5EF4-FFF2-40B4-BE49-F238E27FC236}">
                <a16:creationId xmlns:a16="http://schemas.microsoft.com/office/drawing/2014/main" id="{00000000-0008-0000-0600-000037000000}"/>
              </a:ext>
            </a:extLst>
          </xdr:cNvPr>
          <xdr:cNvSpPr/>
        </xdr:nvSpPr>
        <xdr:spPr>
          <a:xfrm>
            <a:off x="342900" y="4529810"/>
            <a:ext cx="284462" cy="281384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56" name="Прямая со стрелкой 55">
            <a:extLst>
              <a:ext uri="{FF2B5EF4-FFF2-40B4-BE49-F238E27FC236}">
                <a16:creationId xmlns:a16="http://schemas.microsoft.com/office/drawing/2014/main" id="{00000000-0008-0000-0600-000038000000}"/>
              </a:ext>
            </a:extLst>
          </xdr:cNvPr>
          <xdr:cNvCxnSpPr/>
        </xdr:nvCxnSpPr>
        <xdr:spPr>
          <a:xfrm flipV="1">
            <a:off x="485879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140174</xdr:colOff>
      <xdr:row>17</xdr:row>
      <xdr:rowOff>49749</xdr:rowOff>
    </xdr:from>
    <xdr:to>
      <xdr:col>2</xdr:col>
      <xdr:colOff>439911</xdr:colOff>
      <xdr:row>17</xdr:row>
      <xdr:rowOff>372222</xdr:rowOff>
    </xdr:to>
    <xdr:grpSp>
      <xdr:nvGrpSpPr>
        <xdr:cNvPr id="87" name="Группа 86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GrpSpPr/>
      </xdr:nvGrpSpPr>
      <xdr:grpSpPr>
        <a:xfrm>
          <a:off x="749774" y="5269449"/>
          <a:ext cx="909337" cy="322473"/>
          <a:chOff x="750420" y="4550715"/>
          <a:chExt cx="909983" cy="322473"/>
        </a:xfrm>
      </xdr:grpSpPr>
      <xdr:sp macro="" textlink="">
        <xdr:nvSpPr>
          <xdr:cNvPr id="58" name="Прямоугольник 57">
            <a:extLst>
              <a:ext uri="{FF2B5EF4-FFF2-40B4-BE49-F238E27FC236}">
                <a16:creationId xmlns:a16="http://schemas.microsoft.com/office/drawing/2014/main" id="{00000000-0008-0000-0600-00003A000000}"/>
              </a:ext>
            </a:extLst>
          </xdr:cNvPr>
          <xdr:cNvSpPr/>
        </xdr:nvSpPr>
        <xdr:spPr>
          <a:xfrm>
            <a:off x="750420" y="4550715"/>
            <a:ext cx="909983" cy="256842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endParaRPr lang="ru-RU" sz="11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59" name="Прямая со стрелкой 58">
            <a:extLst>
              <a:ext uri="{FF2B5EF4-FFF2-40B4-BE49-F238E27FC236}">
                <a16:creationId xmlns:a16="http://schemas.microsoft.com/office/drawing/2014/main" id="{00000000-0008-0000-0600-00003B000000}"/>
              </a:ext>
            </a:extLst>
          </xdr:cNvPr>
          <xdr:cNvCxnSpPr/>
        </xdr:nvCxnSpPr>
        <xdr:spPr>
          <a:xfrm flipV="1">
            <a:off x="875632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0" name="Прямая со стрелкой 59">
            <a:extLst>
              <a:ext uri="{FF2B5EF4-FFF2-40B4-BE49-F238E27FC236}">
                <a16:creationId xmlns:a16="http://schemas.microsoft.com/office/drawing/2014/main" id="{00000000-0008-0000-0600-00003C000000}"/>
              </a:ext>
            </a:extLst>
          </xdr:cNvPr>
          <xdr:cNvCxnSpPr/>
        </xdr:nvCxnSpPr>
        <xdr:spPr>
          <a:xfrm flipV="1">
            <a:off x="1514694" y="4679145"/>
            <a:ext cx="0" cy="194043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134588</xdr:colOff>
      <xdr:row>18</xdr:row>
      <xdr:rowOff>164050</xdr:rowOff>
    </xdr:from>
    <xdr:to>
      <xdr:col>1</xdr:col>
      <xdr:colOff>515067</xdr:colOff>
      <xdr:row>18</xdr:row>
      <xdr:rowOff>215429</xdr:rowOff>
    </xdr:to>
    <xdr:grpSp>
      <xdr:nvGrpSpPr>
        <xdr:cNvPr id="88" name="Группа 87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pSpPr/>
      </xdr:nvGrpSpPr>
      <xdr:grpSpPr>
        <a:xfrm>
          <a:off x="744188" y="5764750"/>
          <a:ext cx="380479" cy="51379"/>
          <a:chOff x="744834" y="5046016"/>
          <a:chExt cx="380479" cy="51379"/>
        </a:xfrm>
      </xdr:grpSpPr>
      <xdr:cxnSp macro="">
        <xdr:nvCxnSpPr>
          <xdr:cNvPr id="62" name="Прямая со стрелкой 61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63" name="Овал 62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64" name="Овал 63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5" name="Прямая со стрелкой 64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187418</xdr:colOff>
      <xdr:row>19</xdr:row>
      <xdr:rowOff>147970</xdr:rowOff>
    </xdr:from>
    <xdr:to>
      <xdr:col>1</xdr:col>
      <xdr:colOff>484698</xdr:colOff>
      <xdr:row>19</xdr:row>
      <xdr:rowOff>196331</xdr:rowOff>
    </xdr:to>
    <xdr:grpSp>
      <xdr:nvGrpSpPr>
        <xdr:cNvPr id="89" name="Группа 88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GrpSpPr/>
      </xdr:nvGrpSpPr>
      <xdr:grpSpPr>
        <a:xfrm flipH="1">
          <a:off x="797018" y="6129670"/>
          <a:ext cx="297280" cy="48361"/>
          <a:chOff x="797664" y="5410936"/>
          <a:chExt cx="297280" cy="48361"/>
        </a:xfrm>
      </xdr:grpSpPr>
      <xdr:sp macro="" textlink="">
        <xdr:nvSpPr>
          <xdr:cNvPr id="67" name="Овал 66">
            <a:extLst>
              <a:ext uri="{FF2B5EF4-FFF2-40B4-BE49-F238E27FC236}">
                <a16:creationId xmlns:a16="http://schemas.microsoft.com/office/drawing/2014/main" id="{00000000-0008-0000-0600-000043000000}"/>
              </a:ext>
            </a:extLst>
          </xdr:cNvPr>
          <xdr:cNvSpPr/>
        </xdr:nvSpPr>
        <xdr:spPr>
          <a:xfrm>
            <a:off x="1048144" y="5410936"/>
            <a:ext cx="46800" cy="48361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68" name="Прямая со стрелкой 67">
            <a:extLst>
              <a:ext uri="{FF2B5EF4-FFF2-40B4-BE49-F238E27FC236}">
                <a16:creationId xmlns:a16="http://schemas.microsoft.com/office/drawing/2014/main" id="{00000000-0008-0000-0600-000044000000}"/>
              </a:ext>
            </a:extLst>
          </xdr:cNvPr>
          <xdr:cNvCxnSpPr/>
        </xdr:nvCxnSpPr>
        <xdr:spPr>
          <a:xfrm flipH="1">
            <a:off x="797664" y="5438739"/>
            <a:ext cx="246210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273395</xdr:colOff>
      <xdr:row>21</xdr:row>
      <xdr:rowOff>42612</xdr:rowOff>
    </xdr:from>
    <xdr:to>
      <xdr:col>1</xdr:col>
      <xdr:colOff>375949</xdr:colOff>
      <xdr:row>21</xdr:row>
      <xdr:rowOff>340269</xdr:rowOff>
    </xdr:to>
    <xdr:grpSp>
      <xdr:nvGrpSpPr>
        <xdr:cNvPr id="69" name="Группа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882995" y="6786312"/>
          <a:ext cx="102554" cy="297657"/>
          <a:chOff x="635632" y="15053070"/>
          <a:chExt cx="102554" cy="297657"/>
        </a:xfrm>
      </xdr:grpSpPr>
      <xdr:sp macro="" textlink="">
        <xdr:nvSpPr>
          <xdr:cNvPr id="70" name="Прямоугольник 69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1" name="Овал 70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2" name="Овал 71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73" name="Овал 72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1</xdr:col>
      <xdr:colOff>20878</xdr:colOff>
      <xdr:row>28</xdr:row>
      <xdr:rowOff>250243</xdr:rowOff>
    </xdr:from>
    <xdr:to>
      <xdr:col>1</xdr:col>
      <xdr:colOff>92878</xdr:colOff>
      <xdr:row>28</xdr:row>
      <xdr:rowOff>322243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/>
      </xdr:nvSpPr>
      <xdr:spPr>
        <a:xfrm>
          <a:off x="630478" y="292157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535665</xdr:colOff>
      <xdr:row>20</xdr:row>
      <xdr:rowOff>39408</xdr:rowOff>
    </xdr:from>
    <xdr:to>
      <xdr:col>2</xdr:col>
      <xdr:colOff>120601</xdr:colOff>
      <xdr:row>20</xdr:row>
      <xdr:rowOff>311004</xdr:rowOff>
    </xdr:to>
    <xdr:grpSp>
      <xdr:nvGrpSpPr>
        <xdr:cNvPr id="91" name="Группа 90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GrpSpPr/>
      </xdr:nvGrpSpPr>
      <xdr:grpSpPr>
        <a:xfrm>
          <a:off x="1145265" y="6402108"/>
          <a:ext cx="194536" cy="271596"/>
          <a:chOff x="831586" y="6064374"/>
          <a:chExt cx="194536" cy="271596"/>
        </a:xfrm>
      </xdr:grpSpPr>
      <xdr:sp macro="" textlink="">
        <xdr:nvSpPr>
          <xdr:cNvPr id="76" name="Овал 75">
            <a:extLst>
              <a:ext uri="{FF2B5EF4-FFF2-40B4-BE49-F238E27FC236}">
                <a16:creationId xmlns:a16="http://schemas.microsoft.com/office/drawing/2014/main" id="{00000000-0008-0000-0600-00004C000000}"/>
              </a:ext>
            </a:extLst>
          </xdr:cNvPr>
          <xdr:cNvSpPr/>
        </xdr:nvSpPr>
        <xdr:spPr>
          <a:xfrm>
            <a:off x="874025" y="6227970"/>
            <a:ext cx="108000" cy="108000"/>
          </a:xfrm>
          <a:prstGeom prst="ellipse">
            <a:avLst/>
          </a:prstGeom>
          <a:solidFill>
            <a:schemeClr val="tx1"/>
          </a:solidFill>
          <a:ln w="19050"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77" name="Прямая со стрелкой 76">
            <a:extLst>
              <a:ext uri="{FF2B5EF4-FFF2-40B4-BE49-F238E27FC236}">
                <a16:creationId xmlns:a16="http://schemas.microsoft.com/office/drawing/2014/main" id="{00000000-0008-0000-0600-00004D000000}"/>
              </a:ext>
            </a:extLst>
          </xdr:cNvPr>
          <xdr:cNvCxnSpPr/>
        </xdr:nvCxnSpPr>
        <xdr:spPr>
          <a:xfrm flipH="1">
            <a:off x="831586" y="6127876"/>
            <a:ext cx="194536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8" name="Прямая со стрелкой 77">
            <a:extLst>
              <a:ext uri="{FF2B5EF4-FFF2-40B4-BE49-F238E27FC236}">
                <a16:creationId xmlns:a16="http://schemas.microsoft.com/office/drawing/2014/main" id="{00000000-0008-0000-0600-00004E000000}"/>
              </a:ext>
            </a:extLst>
          </xdr:cNvPr>
          <xdr:cNvCxnSpPr/>
        </xdr:nvCxnSpPr>
        <xdr:spPr>
          <a:xfrm flipV="1">
            <a:off x="928267" y="6064374"/>
            <a:ext cx="0" cy="210261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252358</xdr:colOff>
      <xdr:row>20</xdr:row>
      <xdr:rowOff>70017</xdr:rowOff>
    </xdr:from>
    <xdr:to>
      <xdr:col>1</xdr:col>
      <xdr:colOff>54678</xdr:colOff>
      <xdr:row>20</xdr:row>
      <xdr:rowOff>276996</xdr:rowOff>
    </xdr:to>
    <xdr:grpSp>
      <xdr:nvGrpSpPr>
        <xdr:cNvPr id="90" name="Группа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GrpSpPr/>
      </xdr:nvGrpSpPr>
      <xdr:grpSpPr>
        <a:xfrm>
          <a:off x="252358" y="6432717"/>
          <a:ext cx="411920" cy="206979"/>
          <a:chOff x="719729" y="5704458"/>
          <a:chExt cx="411920" cy="206979"/>
        </a:xfrm>
      </xdr:grpSpPr>
      <xdr:sp macro="" textlink="">
        <xdr:nvSpPr>
          <xdr:cNvPr id="80" name="Прямоугольник 79">
            <a:extLst>
              <a:ext uri="{FF2B5EF4-FFF2-40B4-BE49-F238E27FC236}">
                <a16:creationId xmlns:a16="http://schemas.microsoft.com/office/drawing/2014/main" id="{00000000-0008-0000-0600-000050000000}"/>
              </a:ext>
            </a:extLst>
          </xdr:cNvPr>
          <xdr:cNvSpPr/>
        </xdr:nvSpPr>
        <xdr:spPr>
          <a:xfrm>
            <a:off x="719729" y="5706922"/>
            <a:ext cx="411920" cy="204515"/>
          </a:xfrm>
          <a:prstGeom prst="rect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 anchorCtr="0"/>
          <a:lstStyle/>
          <a:p>
            <a:pPr algn="ctr"/>
            <a:endParaRPr lang="ru-RU" sz="11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81" name="Прямая со стрелкой 80">
            <a:extLst>
              <a:ext uri="{FF2B5EF4-FFF2-40B4-BE49-F238E27FC236}">
                <a16:creationId xmlns:a16="http://schemas.microsoft.com/office/drawing/2014/main" id="{00000000-0008-0000-0600-000051000000}"/>
              </a:ext>
            </a:extLst>
          </xdr:cNvPr>
          <xdr:cNvCxnSpPr/>
        </xdr:nvCxnSpPr>
        <xdr:spPr>
          <a:xfrm flipH="1" flipV="1">
            <a:off x="726052" y="5704458"/>
            <a:ext cx="401038" cy="203727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2" name="Прямая со стрелкой 81">
            <a:extLst>
              <a:ext uri="{FF2B5EF4-FFF2-40B4-BE49-F238E27FC236}">
                <a16:creationId xmlns:a16="http://schemas.microsoft.com/office/drawing/2014/main" id="{00000000-0008-0000-0600-000052000000}"/>
              </a:ext>
            </a:extLst>
          </xdr:cNvPr>
          <xdr:cNvCxnSpPr/>
        </xdr:nvCxnSpPr>
        <xdr:spPr>
          <a:xfrm flipH="1">
            <a:off x="729142" y="5704973"/>
            <a:ext cx="401038" cy="203727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266700</xdr:colOff>
      <xdr:row>10</xdr:row>
      <xdr:rowOff>155652</xdr:rowOff>
    </xdr:from>
    <xdr:to>
      <xdr:col>1</xdr:col>
      <xdr:colOff>338700</xdr:colOff>
      <xdr:row>10</xdr:row>
      <xdr:rowOff>227652</xdr:rowOff>
    </xdr:to>
    <xdr:sp macro="" textlink="">
      <xdr:nvSpPr>
        <xdr:cNvPr id="83" name="5-конечная звезда 82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SpPr/>
      </xdr:nvSpPr>
      <xdr:spPr>
        <a:xfrm>
          <a:off x="876300" y="2309185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149679</xdr:colOff>
      <xdr:row>0</xdr:row>
      <xdr:rowOff>4802</xdr:rowOff>
    </xdr:from>
    <xdr:to>
      <xdr:col>2</xdr:col>
      <xdr:colOff>402878</xdr:colOff>
      <xdr:row>3</xdr:row>
      <xdr:rowOff>13132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802"/>
          <a:ext cx="1216905" cy="680683"/>
        </a:xfrm>
        <a:prstGeom prst="rect">
          <a:avLst/>
        </a:prstGeom>
      </xdr:spPr>
    </xdr:pic>
    <xdr:clientData/>
  </xdr:twoCellAnchor>
  <xdr:twoCellAnchor>
    <xdr:from>
      <xdr:col>3</xdr:col>
      <xdr:colOff>504825</xdr:colOff>
      <xdr:row>4</xdr:row>
      <xdr:rowOff>1211036</xdr:rowOff>
    </xdr:from>
    <xdr:to>
      <xdr:col>4</xdr:col>
      <xdr:colOff>828675</xdr:colOff>
      <xdr:row>4</xdr:row>
      <xdr:rowOff>2313214</xdr:rowOff>
    </xdr:to>
    <xdr:sp macro="" textlink="">
      <xdr:nvSpPr>
        <xdr:cNvPr id="105" name="TextBox 104"/>
        <xdr:cNvSpPr txBox="1"/>
      </xdr:nvSpPr>
      <xdr:spPr>
        <a:xfrm>
          <a:off x="2056039" y="2081893"/>
          <a:ext cx="1902279" cy="110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600" b="1"/>
            <a:t>КВ-0 Старт</a:t>
          </a:r>
        </a:p>
        <a:p>
          <a:pPr algn="ctr"/>
          <a:r>
            <a:rPr lang="ru-RU" sz="1600" b="1"/>
            <a:t>ДС-1</a:t>
          </a:r>
          <a:r>
            <a:rPr lang="ru-RU" sz="1600" b="1" baseline="0"/>
            <a:t> РД Старт</a:t>
          </a:r>
        </a:p>
        <a:p>
          <a:pPr algn="ctr"/>
          <a:r>
            <a:rPr lang="en-US" sz="1600" b="1"/>
            <a:t>V</a:t>
          </a:r>
          <a:r>
            <a:rPr lang="ru-RU" sz="1600" b="1"/>
            <a:t>ср</a:t>
          </a:r>
          <a:r>
            <a:rPr lang="en-US" sz="1600" b="1"/>
            <a:t>=30 </a:t>
          </a:r>
          <a:r>
            <a:rPr lang="ru-RU" sz="1600" b="1"/>
            <a:t>км/ч</a:t>
          </a:r>
        </a:p>
      </xdr:txBody>
    </xdr:sp>
    <xdr:clientData/>
  </xdr:twoCellAnchor>
  <xdr:twoCellAnchor>
    <xdr:from>
      <xdr:col>4</xdr:col>
      <xdr:colOff>574957</xdr:colOff>
      <xdr:row>27</xdr:row>
      <xdr:rowOff>505691</xdr:rowOff>
    </xdr:from>
    <xdr:to>
      <xdr:col>5</xdr:col>
      <xdr:colOff>689336</xdr:colOff>
      <xdr:row>27</xdr:row>
      <xdr:rowOff>896216</xdr:rowOff>
    </xdr:to>
    <xdr:sp macro="" textlink="">
      <xdr:nvSpPr>
        <xdr:cNvPr id="164" name="Прямоугольник 163"/>
        <xdr:cNvSpPr/>
      </xdr:nvSpPr>
      <xdr:spPr>
        <a:xfrm>
          <a:off x="3704600" y="34904548"/>
          <a:ext cx="1502307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798853</xdr:colOff>
      <xdr:row>9</xdr:row>
      <xdr:rowOff>49586</xdr:rowOff>
    </xdr:from>
    <xdr:to>
      <xdr:col>3</xdr:col>
      <xdr:colOff>798853</xdr:colOff>
      <xdr:row>9</xdr:row>
      <xdr:rowOff>1375518</xdr:rowOff>
    </xdr:to>
    <xdr:cxnSp macro="">
      <xdr:nvCxnSpPr>
        <xdr:cNvPr id="17" name="Прямая со стрелкой 1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41903" y="3973886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9</xdr:row>
      <xdr:rowOff>1345755</xdr:rowOff>
    </xdr:from>
    <xdr:to>
      <xdr:col>3</xdr:col>
      <xdr:colOff>828620</xdr:colOff>
      <xdr:row>9</xdr:row>
      <xdr:rowOff>1417755</xdr:rowOff>
    </xdr:to>
    <xdr:sp macro="" textlink="">
      <xdr:nvSpPr>
        <xdr:cNvPr id="18" name="Овал 17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9670" y="5270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797299</xdr:colOff>
      <xdr:row>9</xdr:row>
      <xdr:rowOff>73479</xdr:rowOff>
    </xdr:from>
    <xdr:to>
      <xdr:col>3</xdr:col>
      <xdr:colOff>1102099</xdr:colOff>
      <xdr:row>9</xdr:row>
      <xdr:rowOff>883104</xdr:rowOff>
    </xdr:to>
    <xdr:sp macro="" textlink="">
      <xdr:nvSpPr>
        <xdr:cNvPr id="19" name="Полилиния 18"/>
        <xdr:cNvSpPr/>
      </xdr:nvSpPr>
      <xdr:spPr>
        <a:xfrm>
          <a:off x="2340349" y="3997779"/>
          <a:ext cx="304800" cy="809625"/>
        </a:xfrm>
        <a:custGeom>
          <a:avLst/>
          <a:gdLst>
            <a:gd name="connsiteX0" fmla="*/ 0 w 304800"/>
            <a:gd name="connsiteY0" fmla="*/ 809625 h 809625"/>
            <a:gd name="connsiteX1" fmla="*/ 123825 w 304800"/>
            <a:gd name="connsiteY1" fmla="*/ 409575 h 809625"/>
            <a:gd name="connsiteX2" fmla="*/ 304800 w 304800"/>
            <a:gd name="connsiteY2" fmla="*/ 0 h 809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4800" h="809625">
              <a:moveTo>
                <a:pt x="0" y="809625"/>
              </a:moveTo>
              <a:cubicBezTo>
                <a:pt x="36512" y="677068"/>
                <a:pt x="73025" y="544512"/>
                <a:pt x="123825" y="409575"/>
              </a:cubicBezTo>
              <a:cubicBezTo>
                <a:pt x="174625" y="274637"/>
                <a:pt x="239712" y="137318"/>
                <a:pt x="30480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800593</xdr:colOff>
      <xdr:row>15</xdr:row>
      <xdr:rowOff>111563</xdr:rowOff>
    </xdr:from>
    <xdr:to>
      <xdr:col>3</xdr:col>
      <xdr:colOff>800593</xdr:colOff>
      <xdr:row>15</xdr:row>
      <xdr:rowOff>1403490</xdr:rowOff>
    </xdr:to>
    <xdr:cxnSp macro="">
      <xdr:nvCxnSpPr>
        <xdr:cNvPr id="33" name="Прямая со стрелкой 3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643" y="20799863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759600</xdr:colOff>
      <xdr:row>15</xdr:row>
      <xdr:rowOff>1385794</xdr:rowOff>
    </xdr:from>
    <xdr:to>
      <xdr:col>3</xdr:col>
      <xdr:colOff>831600</xdr:colOff>
      <xdr:row>15</xdr:row>
      <xdr:rowOff>1457794</xdr:rowOff>
    </xdr:to>
    <xdr:sp macro="" textlink="">
      <xdr:nvSpPr>
        <xdr:cNvPr id="34" name="Овал 3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650" y="2207409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112061</xdr:colOff>
      <xdr:row>15</xdr:row>
      <xdr:rowOff>188812</xdr:rowOff>
    </xdr:from>
    <xdr:to>
      <xdr:col>3</xdr:col>
      <xdr:colOff>1094528</xdr:colOff>
      <xdr:row>15</xdr:row>
      <xdr:rowOff>1075764</xdr:rowOff>
    </xdr:to>
    <xdr:cxnSp macro="">
      <xdr:nvCxnSpPr>
        <xdr:cNvPr id="35" name="Прямая со стрелкой 3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 flipV="1">
          <a:off x="1658473" y="28517283"/>
          <a:ext cx="982467" cy="88695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1109382</xdr:colOff>
      <xdr:row>15</xdr:row>
      <xdr:rowOff>1094557</xdr:rowOff>
    </xdr:from>
    <xdr:to>
      <xdr:col>3</xdr:col>
      <xdr:colOff>1386469</xdr:colOff>
      <xdr:row>15</xdr:row>
      <xdr:rowOff>1344705</xdr:rowOff>
    </xdr:to>
    <xdr:cxnSp macro="">
      <xdr:nvCxnSpPr>
        <xdr:cNvPr id="36" name="Прямая со стрелкой 3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655794" y="29423028"/>
          <a:ext cx="277087" cy="250148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800592</xdr:colOff>
      <xdr:row>16</xdr:row>
      <xdr:rowOff>1005052</xdr:rowOff>
    </xdr:from>
    <xdr:to>
      <xdr:col>3</xdr:col>
      <xdr:colOff>800592</xdr:colOff>
      <xdr:row>16</xdr:row>
      <xdr:rowOff>1347107</xdr:rowOff>
    </xdr:to>
    <xdr:cxnSp macro="">
      <xdr:nvCxnSpPr>
        <xdr:cNvPr id="37" name="Прямая со стрелкой 3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7730" y="15588155"/>
          <a:ext cx="0" cy="342055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762321</xdr:colOff>
      <xdr:row>16</xdr:row>
      <xdr:rowOff>1310908</xdr:rowOff>
    </xdr:from>
    <xdr:to>
      <xdr:col>3</xdr:col>
      <xdr:colOff>834321</xdr:colOff>
      <xdr:row>16</xdr:row>
      <xdr:rowOff>1382908</xdr:rowOff>
    </xdr:to>
    <xdr:sp macro="" textlink="">
      <xdr:nvSpPr>
        <xdr:cNvPr id="38" name="Овал 3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9459" y="1589401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58370</xdr:colOff>
      <xdr:row>16</xdr:row>
      <xdr:rowOff>554004</xdr:rowOff>
    </xdr:from>
    <xdr:to>
      <xdr:col>3</xdr:col>
      <xdr:colOff>1551215</xdr:colOff>
      <xdr:row>16</xdr:row>
      <xdr:rowOff>814654</xdr:rowOff>
    </xdr:to>
    <xdr:cxnSp macro="">
      <xdr:nvCxnSpPr>
        <xdr:cNvPr id="39" name="Прямая со стрелкой 3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1601420" y="22766304"/>
          <a:ext cx="1492845" cy="260650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791431</xdr:colOff>
      <xdr:row>17</xdr:row>
      <xdr:rowOff>37216</xdr:rowOff>
    </xdr:from>
    <xdr:to>
      <xdr:col>3</xdr:col>
      <xdr:colOff>791431</xdr:colOff>
      <xdr:row>17</xdr:row>
      <xdr:rowOff>1363148</xdr:rowOff>
    </xdr:to>
    <xdr:cxnSp macro="">
      <xdr:nvCxnSpPr>
        <xdr:cNvPr id="40" name="Прямая со стрелкой 3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34481" y="23773516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749198</xdr:colOff>
      <xdr:row>17</xdr:row>
      <xdr:rowOff>1333385</xdr:rowOff>
    </xdr:from>
    <xdr:to>
      <xdr:col>3</xdr:col>
      <xdr:colOff>821198</xdr:colOff>
      <xdr:row>17</xdr:row>
      <xdr:rowOff>1405385</xdr:rowOff>
    </xdr:to>
    <xdr:sp macro="" textlink="">
      <xdr:nvSpPr>
        <xdr:cNvPr id="41" name="Овал 40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2248" y="2506968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801083</xdr:colOff>
      <xdr:row>17</xdr:row>
      <xdr:rowOff>61109</xdr:rowOff>
    </xdr:from>
    <xdr:to>
      <xdr:col>3</xdr:col>
      <xdr:colOff>1105883</xdr:colOff>
      <xdr:row>17</xdr:row>
      <xdr:rowOff>870734</xdr:rowOff>
    </xdr:to>
    <xdr:sp macro="" textlink="">
      <xdr:nvSpPr>
        <xdr:cNvPr id="42" name="Полилиния 41"/>
        <xdr:cNvSpPr/>
      </xdr:nvSpPr>
      <xdr:spPr>
        <a:xfrm>
          <a:off x="2344133" y="23797409"/>
          <a:ext cx="304800" cy="809625"/>
        </a:xfrm>
        <a:custGeom>
          <a:avLst/>
          <a:gdLst>
            <a:gd name="connsiteX0" fmla="*/ 0 w 304800"/>
            <a:gd name="connsiteY0" fmla="*/ 809625 h 809625"/>
            <a:gd name="connsiteX1" fmla="*/ 123825 w 304800"/>
            <a:gd name="connsiteY1" fmla="*/ 409575 h 809625"/>
            <a:gd name="connsiteX2" fmla="*/ 304800 w 304800"/>
            <a:gd name="connsiteY2" fmla="*/ 0 h 8096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4800" h="809625">
              <a:moveTo>
                <a:pt x="0" y="809625"/>
              </a:moveTo>
              <a:cubicBezTo>
                <a:pt x="36512" y="677068"/>
                <a:pt x="73025" y="544512"/>
                <a:pt x="123825" y="409575"/>
              </a:cubicBezTo>
              <a:cubicBezTo>
                <a:pt x="174625" y="274637"/>
                <a:pt x="239712" y="137318"/>
                <a:pt x="30480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791431</xdr:colOff>
      <xdr:row>18</xdr:row>
      <xdr:rowOff>106488</xdr:rowOff>
    </xdr:from>
    <xdr:to>
      <xdr:col>3</xdr:col>
      <xdr:colOff>791431</xdr:colOff>
      <xdr:row>18</xdr:row>
      <xdr:rowOff>1432420</xdr:rowOff>
    </xdr:to>
    <xdr:cxnSp macro="">
      <xdr:nvCxnSpPr>
        <xdr:cNvPr id="43" name="Прямая со стрелкой 4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34481" y="25366788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749198</xdr:colOff>
      <xdr:row>18</xdr:row>
      <xdr:rowOff>1402657</xdr:rowOff>
    </xdr:from>
    <xdr:to>
      <xdr:col>3</xdr:col>
      <xdr:colOff>821198</xdr:colOff>
      <xdr:row>18</xdr:row>
      <xdr:rowOff>1474657</xdr:rowOff>
    </xdr:to>
    <xdr:sp macro="" textlink="">
      <xdr:nvSpPr>
        <xdr:cNvPr id="44" name="Овал 43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2248" y="2666295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798673</xdr:colOff>
      <xdr:row>18</xdr:row>
      <xdr:rowOff>175846</xdr:rowOff>
    </xdr:from>
    <xdr:to>
      <xdr:col>3</xdr:col>
      <xdr:colOff>1451686</xdr:colOff>
      <xdr:row>18</xdr:row>
      <xdr:rowOff>982265</xdr:rowOff>
    </xdr:to>
    <xdr:sp macro="" textlink="">
      <xdr:nvSpPr>
        <xdr:cNvPr id="45" name="Полилиния 44"/>
        <xdr:cNvSpPr/>
      </xdr:nvSpPr>
      <xdr:spPr>
        <a:xfrm>
          <a:off x="2339238" y="17801237"/>
          <a:ext cx="653013" cy="806419"/>
        </a:xfrm>
        <a:custGeom>
          <a:avLst/>
          <a:gdLst>
            <a:gd name="connsiteX0" fmla="*/ 0 w 303610"/>
            <a:gd name="connsiteY0" fmla="*/ 500062 h 500062"/>
            <a:gd name="connsiteX1" fmla="*/ 119063 w 303610"/>
            <a:gd name="connsiteY1" fmla="*/ 184547 h 500062"/>
            <a:gd name="connsiteX2" fmla="*/ 303610 w 303610"/>
            <a:gd name="connsiteY2" fmla="*/ 0 h 5000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03610" h="500062">
              <a:moveTo>
                <a:pt x="0" y="500062"/>
              </a:moveTo>
              <a:cubicBezTo>
                <a:pt x="34230" y="383976"/>
                <a:pt x="68461" y="267891"/>
                <a:pt x="119063" y="184547"/>
              </a:cubicBezTo>
              <a:cubicBezTo>
                <a:pt x="169665" y="101203"/>
                <a:pt x="236637" y="50601"/>
                <a:pt x="303610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798647</xdr:colOff>
      <xdr:row>52</xdr:row>
      <xdr:rowOff>97332</xdr:rowOff>
    </xdr:from>
    <xdr:to>
      <xdr:col>3</xdr:col>
      <xdr:colOff>798647</xdr:colOff>
      <xdr:row>52</xdr:row>
      <xdr:rowOff>1386872</xdr:rowOff>
    </xdr:to>
    <xdr:cxnSp macro="">
      <xdr:nvCxnSpPr>
        <xdr:cNvPr id="46" name="Прямая со стрелкой 4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697" y="55837632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757654</xdr:colOff>
      <xdr:row>52</xdr:row>
      <xdr:rowOff>1369176</xdr:rowOff>
    </xdr:from>
    <xdr:to>
      <xdr:col>3</xdr:col>
      <xdr:colOff>829654</xdr:colOff>
      <xdr:row>52</xdr:row>
      <xdr:rowOff>1441176</xdr:rowOff>
    </xdr:to>
    <xdr:sp macro="" textlink="">
      <xdr:nvSpPr>
        <xdr:cNvPr id="47" name="Овал 4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0704" y="5710947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972326</xdr:colOff>
      <xdr:row>52</xdr:row>
      <xdr:rowOff>757987</xdr:rowOff>
    </xdr:from>
    <xdr:to>
      <xdr:col>3</xdr:col>
      <xdr:colOff>1044326</xdr:colOff>
      <xdr:row>52</xdr:row>
      <xdr:rowOff>829987</xdr:rowOff>
    </xdr:to>
    <xdr:sp macro="" textlink="">
      <xdr:nvSpPr>
        <xdr:cNvPr id="48" name="5-конечная звезда 47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5376" y="564982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537882</xdr:colOff>
      <xdr:row>52</xdr:row>
      <xdr:rowOff>765314</xdr:rowOff>
    </xdr:from>
    <xdr:to>
      <xdr:col>3</xdr:col>
      <xdr:colOff>609882</xdr:colOff>
      <xdr:row>52</xdr:row>
      <xdr:rowOff>837314</xdr:rowOff>
    </xdr:to>
    <xdr:sp macro="" textlink="">
      <xdr:nvSpPr>
        <xdr:cNvPr id="49" name="5-конечная звезда 48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0932" y="5650561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974911</xdr:colOff>
      <xdr:row>52</xdr:row>
      <xdr:rowOff>201707</xdr:rowOff>
    </xdr:from>
    <xdr:to>
      <xdr:col>5</xdr:col>
      <xdr:colOff>195646</xdr:colOff>
      <xdr:row>52</xdr:row>
      <xdr:rowOff>811360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111" y="55942007"/>
          <a:ext cx="601860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798251</xdr:colOff>
      <xdr:row>53</xdr:row>
      <xdr:rowOff>790210</xdr:rowOff>
    </xdr:from>
    <xdr:to>
      <xdr:col>3</xdr:col>
      <xdr:colOff>798251</xdr:colOff>
      <xdr:row>53</xdr:row>
      <xdr:rowOff>1454252</xdr:rowOff>
    </xdr:to>
    <xdr:cxnSp macro="">
      <xdr:nvCxnSpPr>
        <xdr:cNvPr id="51" name="Прямая со стрелкой 5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301" y="58054510"/>
          <a:ext cx="0" cy="664042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759980</xdr:colOff>
      <xdr:row>53</xdr:row>
      <xdr:rowOff>1378639</xdr:rowOff>
    </xdr:from>
    <xdr:to>
      <xdr:col>3</xdr:col>
      <xdr:colOff>831980</xdr:colOff>
      <xdr:row>53</xdr:row>
      <xdr:rowOff>1450639</xdr:rowOff>
    </xdr:to>
    <xdr:sp macro="" textlink="">
      <xdr:nvSpPr>
        <xdr:cNvPr id="52" name="Овал 5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3030" y="5864293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56029</xdr:colOff>
      <xdr:row>53</xdr:row>
      <xdr:rowOff>661149</xdr:rowOff>
    </xdr:from>
    <xdr:to>
      <xdr:col>3</xdr:col>
      <xdr:colOff>1548874</xdr:colOff>
      <xdr:row>53</xdr:row>
      <xdr:rowOff>921799</xdr:rowOff>
    </xdr:to>
    <xdr:cxnSp macro="">
      <xdr:nvCxnSpPr>
        <xdr:cNvPr id="53" name="Прямая со стрелкой 52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1599079" y="57925449"/>
          <a:ext cx="1492845" cy="260650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790187</xdr:colOff>
      <xdr:row>54</xdr:row>
      <xdr:rowOff>112059</xdr:rowOff>
    </xdr:from>
    <xdr:to>
      <xdr:col>3</xdr:col>
      <xdr:colOff>790187</xdr:colOff>
      <xdr:row>54</xdr:row>
      <xdr:rowOff>1403986</xdr:rowOff>
    </xdr:to>
    <xdr:cxnSp macro="">
      <xdr:nvCxnSpPr>
        <xdr:cNvPr id="54" name="Прямая со стрелкой 5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3237" y="58900359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749194</xdr:colOff>
      <xdr:row>54</xdr:row>
      <xdr:rowOff>1386290</xdr:rowOff>
    </xdr:from>
    <xdr:to>
      <xdr:col>3</xdr:col>
      <xdr:colOff>821194</xdr:colOff>
      <xdr:row>54</xdr:row>
      <xdr:rowOff>1458290</xdr:rowOff>
    </xdr:to>
    <xdr:sp macro="" textlink="">
      <xdr:nvSpPr>
        <xdr:cNvPr id="55" name="Овал 5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2244" y="6017459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112058</xdr:colOff>
      <xdr:row>54</xdr:row>
      <xdr:rowOff>744429</xdr:rowOff>
    </xdr:from>
    <xdr:to>
      <xdr:col>3</xdr:col>
      <xdr:colOff>1501588</xdr:colOff>
      <xdr:row>54</xdr:row>
      <xdr:rowOff>818030</xdr:rowOff>
    </xdr:to>
    <xdr:cxnSp macro="">
      <xdr:nvCxnSpPr>
        <xdr:cNvPr id="56" name="Прямая со стрелкой 5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1658470" y="86984900"/>
          <a:ext cx="1389530" cy="73601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790187</xdr:colOff>
      <xdr:row>55</xdr:row>
      <xdr:rowOff>56030</xdr:rowOff>
    </xdr:from>
    <xdr:to>
      <xdr:col>3</xdr:col>
      <xdr:colOff>790187</xdr:colOff>
      <xdr:row>55</xdr:row>
      <xdr:rowOff>1347957</xdr:rowOff>
    </xdr:to>
    <xdr:cxnSp macro="">
      <xdr:nvCxnSpPr>
        <xdr:cNvPr id="57" name="Прямая со стрелкой 5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3237" y="60368330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749194</xdr:colOff>
      <xdr:row>55</xdr:row>
      <xdr:rowOff>1330261</xdr:rowOff>
    </xdr:from>
    <xdr:to>
      <xdr:col>3</xdr:col>
      <xdr:colOff>821194</xdr:colOff>
      <xdr:row>55</xdr:row>
      <xdr:rowOff>1402261</xdr:rowOff>
    </xdr:to>
    <xdr:sp macro="" textlink="">
      <xdr:nvSpPr>
        <xdr:cNvPr id="58" name="Овал 5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2244" y="6164256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795618</xdr:colOff>
      <xdr:row>55</xdr:row>
      <xdr:rowOff>555923</xdr:rowOff>
    </xdr:from>
    <xdr:to>
      <xdr:col>3</xdr:col>
      <xdr:colOff>1166069</xdr:colOff>
      <xdr:row>55</xdr:row>
      <xdr:rowOff>1411941</xdr:rowOff>
    </xdr:to>
    <xdr:cxnSp macro="">
      <xdr:nvCxnSpPr>
        <xdr:cNvPr id="59" name="Прямая со стрелкой 5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>
          <a:off x="2338668" y="60868223"/>
          <a:ext cx="370451" cy="856018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781160</xdr:colOff>
      <xdr:row>56</xdr:row>
      <xdr:rowOff>112059</xdr:rowOff>
    </xdr:from>
    <xdr:to>
      <xdr:col>3</xdr:col>
      <xdr:colOff>781160</xdr:colOff>
      <xdr:row>56</xdr:row>
      <xdr:rowOff>1403987</xdr:rowOff>
    </xdr:to>
    <xdr:cxnSp macro="">
      <xdr:nvCxnSpPr>
        <xdr:cNvPr id="60" name="Прямая со стрелкой 5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4210" y="61948359"/>
          <a:ext cx="0" cy="129192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740167</xdr:colOff>
      <xdr:row>56</xdr:row>
      <xdr:rowOff>1386290</xdr:rowOff>
    </xdr:from>
    <xdr:to>
      <xdr:col>3</xdr:col>
      <xdr:colOff>812167</xdr:colOff>
      <xdr:row>56</xdr:row>
      <xdr:rowOff>1458290</xdr:rowOff>
    </xdr:to>
    <xdr:sp macro="" textlink="">
      <xdr:nvSpPr>
        <xdr:cNvPr id="61" name="Овал 6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3217" y="6322259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123264</xdr:colOff>
      <xdr:row>56</xdr:row>
      <xdr:rowOff>771189</xdr:rowOff>
    </xdr:from>
    <xdr:to>
      <xdr:col>3</xdr:col>
      <xdr:colOff>779203</xdr:colOff>
      <xdr:row>56</xdr:row>
      <xdr:rowOff>829235</xdr:rowOff>
    </xdr:to>
    <xdr:cxnSp macro="">
      <xdr:nvCxnSpPr>
        <xdr:cNvPr id="62" name="Прямая со стрелкой 6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66314" y="62607489"/>
          <a:ext cx="655939" cy="58046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776236</xdr:colOff>
      <xdr:row>57</xdr:row>
      <xdr:rowOff>92048</xdr:rowOff>
    </xdr:from>
    <xdr:to>
      <xdr:col>3</xdr:col>
      <xdr:colOff>776236</xdr:colOff>
      <xdr:row>57</xdr:row>
      <xdr:rowOff>1381588</xdr:rowOff>
    </xdr:to>
    <xdr:cxnSp macro="">
      <xdr:nvCxnSpPr>
        <xdr:cNvPr id="63" name="Прямая со стрелкой 6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9286" y="63452348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735243</xdr:colOff>
      <xdr:row>57</xdr:row>
      <xdr:rowOff>1363892</xdr:rowOff>
    </xdr:from>
    <xdr:to>
      <xdr:col>3</xdr:col>
      <xdr:colOff>807243</xdr:colOff>
      <xdr:row>57</xdr:row>
      <xdr:rowOff>1435892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8293" y="647241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938714</xdr:colOff>
      <xdr:row>57</xdr:row>
      <xdr:rowOff>741997</xdr:rowOff>
    </xdr:from>
    <xdr:to>
      <xdr:col>3</xdr:col>
      <xdr:colOff>1010714</xdr:colOff>
      <xdr:row>57</xdr:row>
      <xdr:rowOff>813997</xdr:rowOff>
    </xdr:to>
    <xdr:sp macro="" textlink="">
      <xdr:nvSpPr>
        <xdr:cNvPr id="65" name="5-конечная звезда 6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5126" y="9155446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526682</xdr:colOff>
      <xdr:row>57</xdr:row>
      <xdr:rowOff>749324</xdr:rowOff>
    </xdr:from>
    <xdr:to>
      <xdr:col>3</xdr:col>
      <xdr:colOff>598682</xdr:colOff>
      <xdr:row>57</xdr:row>
      <xdr:rowOff>821324</xdr:rowOff>
    </xdr:to>
    <xdr:sp macro="" textlink="">
      <xdr:nvSpPr>
        <xdr:cNvPr id="66" name="5-конечная звезда 65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69732" y="6410962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839015</xdr:colOff>
      <xdr:row>26</xdr:row>
      <xdr:rowOff>133371</xdr:rowOff>
    </xdr:from>
    <xdr:to>
      <xdr:col>3</xdr:col>
      <xdr:colOff>839015</xdr:colOff>
      <xdr:row>26</xdr:row>
      <xdr:rowOff>1425298</xdr:rowOff>
    </xdr:to>
    <xdr:cxnSp macro="">
      <xdr:nvCxnSpPr>
        <xdr:cNvPr id="69" name="Прямая со стрелкой 6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82065" y="34537671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801832</xdr:colOff>
      <xdr:row>26</xdr:row>
      <xdr:rowOff>1407602</xdr:rowOff>
    </xdr:from>
    <xdr:to>
      <xdr:col>3</xdr:col>
      <xdr:colOff>873832</xdr:colOff>
      <xdr:row>26</xdr:row>
      <xdr:rowOff>1479602</xdr:rowOff>
    </xdr:to>
    <xdr:sp macro="" textlink="">
      <xdr:nvSpPr>
        <xdr:cNvPr id="70" name="Овал 6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44882" y="3581190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567611</xdr:colOff>
      <xdr:row>26</xdr:row>
      <xdr:rowOff>151728</xdr:rowOff>
    </xdr:from>
    <xdr:to>
      <xdr:col>3</xdr:col>
      <xdr:colOff>655320</xdr:colOff>
      <xdr:row>26</xdr:row>
      <xdr:rowOff>1447128</xdr:rowOff>
    </xdr:to>
    <xdr:sp macro="" textlink="">
      <xdr:nvSpPr>
        <xdr:cNvPr id="71" name="Полилиния 70"/>
        <xdr:cNvSpPr/>
      </xdr:nvSpPr>
      <xdr:spPr>
        <a:xfrm>
          <a:off x="2110661" y="34556028"/>
          <a:ext cx="87709" cy="1295400"/>
        </a:xfrm>
        <a:custGeom>
          <a:avLst/>
          <a:gdLst>
            <a:gd name="connsiteX0" fmla="*/ 87709 w 87709"/>
            <a:gd name="connsiteY0" fmla="*/ 0 h 1295400"/>
            <a:gd name="connsiteX1" fmla="*/ 7699 w 87709"/>
            <a:gd name="connsiteY1" fmla="*/ 590550 h 1295400"/>
            <a:gd name="connsiteX2" fmla="*/ 7699 w 87709"/>
            <a:gd name="connsiteY2" fmla="*/ 1295400 h 12954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7709" h="1295400">
              <a:moveTo>
                <a:pt x="87709" y="0"/>
              </a:moveTo>
              <a:cubicBezTo>
                <a:pt x="54371" y="187325"/>
                <a:pt x="21034" y="374650"/>
                <a:pt x="7699" y="590550"/>
              </a:cubicBezTo>
              <a:cubicBezTo>
                <a:pt x="-5636" y="806450"/>
                <a:pt x="1031" y="1050925"/>
                <a:pt x="7699" y="129540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567690</xdr:colOff>
      <xdr:row>26</xdr:row>
      <xdr:rowOff>673660</xdr:rowOff>
    </xdr:from>
    <xdr:to>
      <xdr:col>3</xdr:col>
      <xdr:colOff>839032</xdr:colOff>
      <xdr:row>26</xdr:row>
      <xdr:rowOff>932779</xdr:rowOff>
    </xdr:to>
    <xdr:sp macro="" textlink="">
      <xdr:nvSpPr>
        <xdr:cNvPr id="72" name="Полилиния 71"/>
        <xdr:cNvSpPr/>
      </xdr:nvSpPr>
      <xdr:spPr>
        <a:xfrm>
          <a:off x="2110740" y="35077960"/>
          <a:ext cx="271342" cy="259119"/>
        </a:xfrm>
        <a:custGeom>
          <a:avLst/>
          <a:gdLst>
            <a:gd name="connsiteX0" fmla="*/ 255270 w 259368"/>
            <a:gd name="connsiteY0" fmla="*/ 244859 h 244859"/>
            <a:gd name="connsiteX1" fmla="*/ 243840 w 259368"/>
            <a:gd name="connsiteY1" fmla="*/ 88649 h 244859"/>
            <a:gd name="connsiteX2" fmla="*/ 129540 w 259368"/>
            <a:gd name="connsiteY2" fmla="*/ 1019 h 244859"/>
            <a:gd name="connsiteX3" fmla="*/ 30480 w 259368"/>
            <a:gd name="connsiteY3" fmla="*/ 50549 h 244859"/>
            <a:gd name="connsiteX4" fmla="*/ 0 w 259368"/>
            <a:gd name="connsiteY4" fmla="*/ 191519 h 244859"/>
            <a:gd name="connsiteX0" fmla="*/ 255270 w 259368"/>
            <a:gd name="connsiteY0" fmla="*/ 260099 h 260099"/>
            <a:gd name="connsiteX1" fmla="*/ 243840 w 259368"/>
            <a:gd name="connsiteY1" fmla="*/ 88649 h 260099"/>
            <a:gd name="connsiteX2" fmla="*/ 129540 w 259368"/>
            <a:gd name="connsiteY2" fmla="*/ 1019 h 260099"/>
            <a:gd name="connsiteX3" fmla="*/ 30480 w 259368"/>
            <a:gd name="connsiteY3" fmla="*/ 50549 h 260099"/>
            <a:gd name="connsiteX4" fmla="*/ 0 w 259368"/>
            <a:gd name="connsiteY4" fmla="*/ 191519 h 260099"/>
            <a:gd name="connsiteX0" fmla="*/ 281940 w 282723"/>
            <a:gd name="connsiteY0" fmla="*/ 260099 h 260099"/>
            <a:gd name="connsiteX1" fmla="*/ 243840 w 282723"/>
            <a:gd name="connsiteY1" fmla="*/ 88649 h 260099"/>
            <a:gd name="connsiteX2" fmla="*/ 129540 w 282723"/>
            <a:gd name="connsiteY2" fmla="*/ 1019 h 260099"/>
            <a:gd name="connsiteX3" fmla="*/ 30480 w 282723"/>
            <a:gd name="connsiteY3" fmla="*/ 50549 h 260099"/>
            <a:gd name="connsiteX4" fmla="*/ 0 w 282723"/>
            <a:gd name="connsiteY4" fmla="*/ 191519 h 260099"/>
            <a:gd name="connsiteX0" fmla="*/ 266700 w 268370"/>
            <a:gd name="connsiteY0" fmla="*/ 260099 h 260099"/>
            <a:gd name="connsiteX1" fmla="*/ 243840 w 268370"/>
            <a:gd name="connsiteY1" fmla="*/ 88649 h 260099"/>
            <a:gd name="connsiteX2" fmla="*/ 129540 w 268370"/>
            <a:gd name="connsiteY2" fmla="*/ 1019 h 260099"/>
            <a:gd name="connsiteX3" fmla="*/ 30480 w 268370"/>
            <a:gd name="connsiteY3" fmla="*/ 50549 h 260099"/>
            <a:gd name="connsiteX4" fmla="*/ 0 w 268370"/>
            <a:gd name="connsiteY4" fmla="*/ 191519 h 260099"/>
            <a:gd name="connsiteX0" fmla="*/ 266700 w 267533"/>
            <a:gd name="connsiteY0" fmla="*/ 259516 h 259516"/>
            <a:gd name="connsiteX1" fmla="*/ 232410 w 267533"/>
            <a:gd name="connsiteY1" fmla="*/ 72826 h 259516"/>
            <a:gd name="connsiteX2" fmla="*/ 129540 w 267533"/>
            <a:gd name="connsiteY2" fmla="*/ 436 h 259516"/>
            <a:gd name="connsiteX3" fmla="*/ 30480 w 267533"/>
            <a:gd name="connsiteY3" fmla="*/ 49966 h 259516"/>
            <a:gd name="connsiteX4" fmla="*/ 0 w 267533"/>
            <a:gd name="connsiteY4" fmla="*/ 190936 h 259516"/>
            <a:gd name="connsiteX0" fmla="*/ 270565 w 271398"/>
            <a:gd name="connsiteY0" fmla="*/ 259935 h 275175"/>
            <a:gd name="connsiteX1" fmla="*/ 236275 w 271398"/>
            <a:gd name="connsiteY1" fmla="*/ 73245 h 275175"/>
            <a:gd name="connsiteX2" fmla="*/ 133405 w 271398"/>
            <a:gd name="connsiteY2" fmla="*/ 855 h 275175"/>
            <a:gd name="connsiteX3" fmla="*/ 34345 w 271398"/>
            <a:gd name="connsiteY3" fmla="*/ 50385 h 275175"/>
            <a:gd name="connsiteX4" fmla="*/ 0 w 271398"/>
            <a:gd name="connsiteY4" fmla="*/ 275175 h 275175"/>
            <a:gd name="connsiteX0" fmla="*/ 274430 w 275263"/>
            <a:gd name="connsiteY0" fmla="*/ 259768 h 259768"/>
            <a:gd name="connsiteX1" fmla="*/ 240140 w 275263"/>
            <a:gd name="connsiteY1" fmla="*/ 73078 h 259768"/>
            <a:gd name="connsiteX2" fmla="*/ 137270 w 275263"/>
            <a:gd name="connsiteY2" fmla="*/ 688 h 259768"/>
            <a:gd name="connsiteX3" fmla="*/ 38210 w 275263"/>
            <a:gd name="connsiteY3" fmla="*/ 50218 h 259768"/>
            <a:gd name="connsiteX4" fmla="*/ 0 w 275263"/>
            <a:gd name="connsiteY4" fmla="*/ 252148 h 259768"/>
            <a:gd name="connsiteX0" fmla="*/ 274430 w 275263"/>
            <a:gd name="connsiteY0" fmla="*/ 259119 h 259119"/>
            <a:gd name="connsiteX1" fmla="*/ 240140 w 275263"/>
            <a:gd name="connsiteY1" fmla="*/ 72429 h 259119"/>
            <a:gd name="connsiteX2" fmla="*/ 137270 w 275263"/>
            <a:gd name="connsiteY2" fmla="*/ 39 h 259119"/>
            <a:gd name="connsiteX3" fmla="*/ 38210 w 275263"/>
            <a:gd name="connsiteY3" fmla="*/ 80049 h 259119"/>
            <a:gd name="connsiteX4" fmla="*/ 0 w 275263"/>
            <a:gd name="connsiteY4" fmla="*/ 251499 h 25911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75263" h="259119">
              <a:moveTo>
                <a:pt x="274430" y="259119"/>
              </a:moveTo>
              <a:cubicBezTo>
                <a:pt x="279192" y="201334"/>
                <a:pt x="263000" y="115609"/>
                <a:pt x="240140" y="72429"/>
              </a:cubicBezTo>
              <a:cubicBezTo>
                <a:pt x="217280" y="29249"/>
                <a:pt x="170925" y="-1231"/>
                <a:pt x="137270" y="39"/>
              </a:cubicBezTo>
              <a:cubicBezTo>
                <a:pt x="103615" y="1309"/>
                <a:pt x="61088" y="38139"/>
                <a:pt x="38210" y="80049"/>
              </a:cubicBezTo>
              <a:cubicBezTo>
                <a:pt x="15332" y="121959"/>
                <a:pt x="6350" y="224829"/>
                <a:pt x="0" y="251499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768834</xdr:colOff>
      <xdr:row>27</xdr:row>
      <xdr:rowOff>105877</xdr:rowOff>
    </xdr:from>
    <xdr:to>
      <xdr:col>3</xdr:col>
      <xdr:colOff>768834</xdr:colOff>
      <xdr:row>27</xdr:row>
      <xdr:rowOff>1397805</xdr:rowOff>
    </xdr:to>
    <xdr:cxnSp macro="">
      <xdr:nvCxnSpPr>
        <xdr:cNvPr id="73" name="Прямая со стрелкой 7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1884" y="36034177"/>
          <a:ext cx="0" cy="129192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727841</xdr:colOff>
      <xdr:row>27</xdr:row>
      <xdr:rowOff>1380108</xdr:rowOff>
    </xdr:from>
    <xdr:to>
      <xdr:col>3</xdr:col>
      <xdr:colOff>799841</xdr:colOff>
      <xdr:row>27</xdr:row>
      <xdr:rowOff>1452108</xdr:rowOff>
    </xdr:to>
    <xdr:sp macro="" textlink="">
      <xdr:nvSpPr>
        <xdr:cNvPr id="74" name="Овал 7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0891" y="3730840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766875</xdr:colOff>
      <xdr:row>27</xdr:row>
      <xdr:rowOff>650444</xdr:rowOff>
    </xdr:from>
    <xdr:to>
      <xdr:col>3</xdr:col>
      <xdr:colOff>1516117</xdr:colOff>
      <xdr:row>27</xdr:row>
      <xdr:rowOff>765006</xdr:rowOff>
    </xdr:to>
    <xdr:cxnSp macro="">
      <xdr:nvCxnSpPr>
        <xdr:cNvPr id="75" name="Прямая со стрелкой 7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09925" y="36578744"/>
          <a:ext cx="749242" cy="11456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778359</xdr:colOff>
      <xdr:row>28</xdr:row>
      <xdr:rowOff>110359</xdr:rowOff>
    </xdr:from>
    <xdr:to>
      <xdr:col>3</xdr:col>
      <xdr:colOff>778359</xdr:colOff>
      <xdr:row>28</xdr:row>
      <xdr:rowOff>1402287</xdr:rowOff>
    </xdr:to>
    <xdr:cxnSp macro="">
      <xdr:nvCxnSpPr>
        <xdr:cNvPr id="82" name="Прямая со стрелкой 8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1409" y="37562659"/>
          <a:ext cx="0" cy="1291928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737366</xdr:colOff>
      <xdr:row>28</xdr:row>
      <xdr:rowOff>1384590</xdr:rowOff>
    </xdr:from>
    <xdr:to>
      <xdr:col>3</xdr:col>
      <xdr:colOff>809366</xdr:colOff>
      <xdr:row>28</xdr:row>
      <xdr:rowOff>1456590</xdr:rowOff>
    </xdr:to>
    <xdr:sp macro="" textlink="">
      <xdr:nvSpPr>
        <xdr:cNvPr id="83" name="Овал 8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0416" y="3883689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142875</xdr:colOff>
      <xdr:row>28</xdr:row>
      <xdr:rowOff>752475</xdr:rowOff>
    </xdr:from>
    <xdr:to>
      <xdr:col>3</xdr:col>
      <xdr:colOff>776400</xdr:colOff>
      <xdr:row>28</xdr:row>
      <xdr:rowOff>769488</xdr:rowOff>
    </xdr:to>
    <xdr:cxnSp macro="">
      <xdr:nvCxnSpPr>
        <xdr:cNvPr id="84" name="Прямая со стрелкой 8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 flipV="1">
          <a:off x="1685925" y="38204775"/>
          <a:ext cx="633525" cy="17013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780040</xdr:colOff>
      <xdr:row>29</xdr:row>
      <xdr:rowOff>131736</xdr:rowOff>
    </xdr:from>
    <xdr:to>
      <xdr:col>3</xdr:col>
      <xdr:colOff>780040</xdr:colOff>
      <xdr:row>29</xdr:row>
      <xdr:rowOff>1423664</xdr:rowOff>
    </xdr:to>
    <xdr:cxnSp macro="">
      <xdr:nvCxnSpPr>
        <xdr:cNvPr id="85" name="Прямая со стрелкой 8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3090" y="39108036"/>
          <a:ext cx="0" cy="1291928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135764</xdr:colOff>
      <xdr:row>29</xdr:row>
      <xdr:rowOff>790865</xdr:rowOff>
    </xdr:from>
    <xdr:to>
      <xdr:col>3</xdr:col>
      <xdr:colOff>778081</xdr:colOff>
      <xdr:row>29</xdr:row>
      <xdr:rowOff>872765</xdr:rowOff>
    </xdr:to>
    <xdr:cxnSp macro="">
      <xdr:nvCxnSpPr>
        <xdr:cNvPr id="86" name="Прямая со стрелкой 85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H="1">
          <a:off x="1678814" y="39767165"/>
          <a:ext cx="642317" cy="81900"/>
        </a:xfrm>
        <a:prstGeom prst="straightConnector1">
          <a:avLst/>
        </a:prstGeom>
        <a:ln w="19050">
          <a:prstDash val="sysDot"/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748572</xdr:colOff>
      <xdr:row>29</xdr:row>
      <xdr:rowOff>1378124</xdr:rowOff>
    </xdr:from>
    <xdr:to>
      <xdr:col>3</xdr:col>
      <xdr:colOff>820572</xdr:colOff>
      <xdr:row>29</xdr:row>
      <xdr:rowOff>1450124</xdr:rowOff>
    </xdr:to>
    <xdr:sp macro="" textlink="">
      <xdr:nvSpPr>
        <xdr:cNvPr id="87" name="Овал 8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1622" y="4035442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800414</xdr:colOff>
      <xdr:row>30</xdr:row>
      <xdr:rowOff>100853</xdr:rowOff>
    </xdr:from>
    <xdr:to>
      <xdr:col>3</xdr:col>
      <xdr:colOff>800414</xdr:colOff>
      <xdr:row>30</xdr:row>
      <xdr:rowOff>1390393</xdr:rowOff>
    </xdr:to>
    <xdr:cxnSp macro="">
      <xdr:nvCxnSpPr>
        <xdr:cNvPr id="88" name="Прямая со стрелкой 8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464" y="40601153"/>
          <a:ext cx="0" cy="1289540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759421</xdr:colOff>
      <xdr:row>30</xdr:row>
      <xdr:rowOff>1372697</xdr:rowOff>
    </xdr:from>
    <xdr:to>
      <xdr:col>3</xdr:col>
      <xdr:colOff>831421</xdr:colOff>
      <xdr:row>30</xdr:row>
      <xdr:rowOff>1444697</xdr:rowOff>
    </xdr:to>
    <xdr:sp macro="" textlink="">
      <xdr:nvSpPr>
        <xdr:cNvPr id="89" name="Овал 8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4187299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974093</xdr:colOff>
      <xdr:row>30</xdr:row>
      <xdr:rowOff>739096</xdr:rowOff>
    </xdr:from>
    <xdr:to>
      <xdr:col>3</xdr:col>
      <xdr:colOff>1046093</xdr:colOff>
      <xdr:row>30</xdr:row>
      <xdr:rowOff>811096</xdr:rowOff>
    </xdr:to>
    <xdr:sp macro="" textlink="">
      <xdr:nvSpPr>
        <xdr:cNvPr id="90" name="5-конечная звезда 8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7143" y="412393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539649</xdr:colOff>
      <xdr:row>30</xdr:row>
      <xdr:rowOff>746423</xdr:rowOff>
    </xdr:from>
    <xdr:to>
      <xdr:col>3</xdr:col>
      <xdr:colOff>611649</xdr:colOff>
      <xdr:row>30</xdr:row>
      <xdr:rowOff>818423</xdr:rowOff>
    </xdr:to>
    <xdr:sp macro="" textlink="">
      <xdr:nvSpPr>
        <xdr:cNvPr id="91" name="5-конечная звезда 90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2699" y="4124672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976595</xdr:colOff>
      <xdr:row>30</xdr:row>
      <xdr:rowOff>95569</xdr:rowOff>
    </xdr:from>
    <xdr:ext cx="614775" cy="609653"/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238" y="51258426"/>
          <a:ext cx="614775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967844</xdr:colOff>
      <xdr:row>26</xdr:row>
      <xdr:rowOff>996832</xdr:rowOff>
    </xdr:from>
    <xdr:to>
      <xdr:col>3</xdr:col>
      <xdr:colOff>1039844</xdr:colOff>
      <xdr:row>26</xdr:row>
      <xdr:rowOff>1068832</xdr:rowOff>
    </xdr:to>
    <xdr:sp macro="" textlink="">
      <xdr:nvSpPr>
        <xdr:cNvPr id="113" name="5-конечная звезда 112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0894" y="3540113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798853</xdr:colOff>
      <xdr:row>10</xdr:row>
      <xdr:rowOff>49586</xdr:rowOff>
    </xdr:from>
    <xdr:to>
      <xdr:col>3</xdr:col>
      <xdr:colOff>798853</xdr:colOff>
      <xdr:row>10</xdr:row>
      <xdr:rowOff>1375518</xdr:rowOff>
    </xdr:to>
    <xdr:cxnSp macro="">
      <xdr:nvCxnSpPr>
        <xdr:cNvPr id="114" name="Прямая со стрелкой 113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1903" y="5497886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10</xdr:row>
      <xdr:rowOff>1345755</xdr:rowOff>
    </xdr:from>
    <xdr:to>
      <xdr:col>3</xdr:col>
      <xdr:colOff>828620</xdr:colOff>
      <xdr:row>10</xdr:row>
      <xdr:rowOff>1417755</xdr:rowOff>
    </xdr:to>
    <xdr:sp macro="" textlink="">
      <xdr:nvSpPr>
        <xdr:cNvPr id="115" name="Овал 11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9670" y="679405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122465</xdr:colOff>
      <xdr:row>10</xdr:row>
      <xdr:rowOff>734787</xdr:rowOff>
    </xdr:from>
    <xdr:to>
      <xdr:col>3</xdr:col>
      <xdr:colOff>457200</xdr:colOff>
      <xdr:row>10</xdr:row>
      <xdr:rowOff>734787</xdr:rowOff>
    </xdr:to>
    <xdr:cxnSp macro="">
      <xdr:nvCxnSpPr>
        <xdr:cNvPr id="116" name="Прямая соединительная линия 115"/>
        <xdr:cNvCxnSpPr/>
      </xdr:nvCxnSpPr>
      <xdr:spPr>
        <a:xfrm>
          <a:off x="1665515" y="6183087"/>
          <a:ext cx="334735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798853</xdr:colOff>
      <xdr:row>14</xdr:row>
      <xdr:rowOff>63193</xdr:rowOff>
    </xdr:from>
    <xdr:to>
      <xdr:col>3</xdr:col>
      <xdr:colOff>798853</xdr:colOff>
      <xdr:row>14</xdr:row>
      <xdr:rowOff>1389125</xdr:rowOff>
    </xdr:to>
    <xdr:cxnSp macro="">
      <xdr:nvCxnSpPr>
        <xdr:cNvPr id="117" name="Прямая со стрелкой 11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1903" y="11607493"/>
          <a:ext cx="0" cy="1325932"/>
        </a:xfrm>
        <a:prstGeom prst="straightConnector1">
          <a:avLst/>
        </a:prstGeom>
        <a:ln w="19050">
          <a:headEnd type="none" w="med" len="lg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756620</xdr:colOff>
      <xdr:row>14</xdr:row>
      <xdr:rowOff>1359362</xdr:rowOff>
    </xdr:from>
    <xdr:to>
      <xdr:col>3</xdr:col>
      <xdr:colOff>828620</xdr:colOff>
      <xdr:row>14</xdr:row>
      <xdr:rowOff>1431362</xdr:rowOff>
    </xdr:to>
    <xdr:sp macro="" textlink="">
      <xdr:nvSpPr>
        <xdr:cNvPr id="118" name="Овал 117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9670" y="1290366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1157654</xdr:colOff>
      <xdr:row>57</xdr:row>
      <xdr:rowOff>776654</xdr:rowOff>
    </xdr:from>
    <xdr:to>
      <xdr:col>3</xdr:col>
      <xdr:colOff>1157654</xdr:colOff>
      <xdr:row>57</xdr:row>
      <xdr:rowOff>776654</xdr:rowOff>
    </xdr:to>
    <xdr:cxnSp macro="">
      <xdr:nvCxnSpPr>
        <xdr:cNvPr id="120" name="Прямая соединительная линия 119"/>
        <xdr:cNvCxnSpPr/>
      </xdr:nvCxnSpPr>
      <xdr:spPr>
        <a:xfrm>
          <a:off x="2700704" y="64136954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904875</xdr:colOff>
      <xdr:row>57</xdr:row>
      <xdr:rowOff>143566</xdr:rowOff>
    </xdr:from>
    <xdr:ext cx="609653" cy="609653"/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466" y="37620111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1168860</xdr:colOff>
      <xdr:row>57</xdr:row>
      <xdr:rowOff>835270</xdr:rowOff>
    </xdr:from>
    <xdr:to>
      <xdr:col>3</xdr:col>
      <xdr:colOff>1530810</xdr:colOff>
      <xdr:row>57</xdr:row>
      <xdr:rowOff>1066251</xdr:rowOff>
    </xdr:to>
    <xdr:grpSp>
      <xdr:nvGrpSpPr>
        <xdr:cNvPr id="124" name="Группа 123"/>
        <xdr:cNvGrpSpPr/>
      </xdr:nvGrpSpPr>
      <xdr:grpSpPr>
        <a:xfrm>
          <a:off x="2715272" y="62602094"/>
          <a:ext cx="361950" cy="230981"/>
          <a:chOff x="2631156" y="1513048"/>
          <a:chExt cx="361950" cy="230981"/>
        </a:xfrm>
      </xdr:grpSpPr>
      <xdr:sp macro="" textlink="">
        <xdr:nvSpPr>
          <xdr:cNvPr id="125" name="Полилиния 124"/>
          <xdr:cNvSpPr/>
        </xdr:nvSpPr>
        <xdr:spPr>
          <a:xfrm>
            <a:off x="2631156" y="1513048"/>
            <a:ext cx="361950" cy="230981"/>
          </a:xfrm>
          <a:custGeom>
            <a:avLst/>
            <a:gdLst>
              <a:gd name="connsiteX0" fmla="*/ 0 w 361950"/>
              <a:gd name="connsiteY0" fmla="*/ 0 h 230981"/>
              <a:gd name="connsiteX1" fmla="*/ 361950 w 361950"/>
              <a:gd name="connsiteY1" fmla="*/ 0 h 230981"/>
              <a:gd name="connsiteX2" fmla="*/ 361950 w 361950"/>
              <a:gd name="connsiteY2" fmla="*/ 230981 h 230981"/>
              <a:gd name="connsiteX3" fmla="*/ 2382 w 361950"/>
              <a:gd name="connsiteY3" fmla="*/ 230981 h 230981"/>
              <a:gd name="connsiteX4" fmla="*/ 0 w 361950"/>
              <a:gd name="connsiteY4" fmla="*/ 0 h 23098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61950" h="230981">
                <a:moveTo>
                  <a:pt x="0" y="0"/>
                </a:moveTo>
                <a:lnTo>
                  <a:pt x="361950" y="0"/>
                </a:lnTo>
                <a:lnTo>
                  <a:pt x="361950" y="230981"/>
                </a:lnTo>
                <a:lnTo>
                  <a:pt x="2382" y="230981"/>
                </a:lnTo>
                <a:lnTo>
                  <a:pt x="0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</a:schemeClr>
          </a:solidFill>
          <a:ln w="19050">
            <a:solidFill>
              <a:srgbClr val="FF0000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126" name="Прямая соединительная линия 125"/>
          <xdr:cNvCxnSpPr>
            <a:stCxn id="125" idx="0"/>
            <a:endCxn id="125" idx="2"/>
          </xdr:cNvCxnSpPr>
        </xdr:nvCxnSpPr>
        <xdr:spPr>
          <a:xfrm>
            <a:off x="2631156" y="1513048"/>
            <a:ext cx="361950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7" name="Прямая соединительная линия 126"/>
          <xdr:cNvCxnSpPr>
            <a:stCxn id="125" idx="1"/>
            <a:endCxn id="125" idx="3"/>
          </xdr:cNvCxnSpPr>
        </xdr:nvCxnSpPr>
        <xdr:spPr>
          <a:xfrm flipH="1">
            <a:off x="2633538" y="1513048"/>
            <a:ext cx="359568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436790</xdr:colOff>
      <xdr:row>10</xdr:row>
      <xdr:rowOff>734787</xdr:rowOff>
    </xdr:from>
    <xdr:to>
      <xdr:col>3</xdr:col>
      <xdr:colOff>1504950</xdr:colOff>
      <xdr:row>10</xdr:row>
      <xdr:rowOff>734787</xdr:rowOff>
    </xdr:to>
    <xdr:cxnSp macro="">
      <xdr:nvCxnSpPr>
        <xdr:cNvPr id="145" name="Прямая соединительная линия 144"/>
        <xdr:cNvCxnSpPr/>
      </xdr:nvCxnSpPr>
      <xdr:spPr>
        <a:xfrm>
          <a:off x="1979840" y="6183087"/>
          <a:ext cx="106816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1170215</xdr:colOff>
      <xdr:row>14</xdr:row>
      <xdr:rowOff>763362</xdr:rowOff>
    </xdr:from>
    <xdr:to>
      <xdr:col>3</xdr:col>
      <xdr:colOff>1504950</xdr:colOff>
      <xdr:row>14</xdr:row>
      <xdr:rowOff>763362</xdr:rowOff>
    </xdr:to>
    <xdr:cxnSp macro="">
      <xdr:nvCxnSpPr>
        <xdr:cNvPr id="147" name="Прямая соединительная линия 146"/>
        <xdr:cNvCxnSpPr/>
      </xdr:nvCxnSpPr>
      <xdr:spPr>
        <a:xfrm flipH="1">
          <a:off x="2713265" y="12307662"/>
          <a:ext cx="334735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122465</xdr:colOff>
      <xdr:row>14</xdr:row>
      <xdr:rowOff>763362</xdr:rowOff>
    </xdr:from>
    <xdr:to>
      <xdr:col>3</xdr:col>
      <xdr:colOff>1190625</xdr:colOff>
      <xdr:row>14</xdr:row>
      <xdr:rowOff>763362</xdr:rowOff>
    </xdr:to>
    <xdr:cxnSp macro="">
      <xdr:nvCxnSpPr>
        <xdr:cNvPr id="148" name="Прямая соединительная линия 147"/>
        <xdr:cNvCxnSpPr/>
      </xdr:nvCxnSpPr>
      <xdr:spPr>
        <a:xfrm flipH="1">
          <a:off x="1665515" y="12307662"/>
          <a:ext cx="1068160" cy="0"/>
        </a:xfrm>
        <a:prstGeom prst="line">
          <a:avLst/>
        </a:prstGeom>
        <a:ln w="19050">
          <a:solidFill>
            <a:schemeClr val="tx1"/>
          </a:solidFill>
          <a:prstDash val="soli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800592</xdr:colOff>
      <xdr:row>16</xdr:row>
      <xdr:rowOff>678922</xdr:rowOff>
    </xdr:from>
    <xdr:to>
      <xdr:col>3</xdr:col>
      <xdr:colOff>800592</xdr:colOff>
      <xdr:row>16</xdr:row>
      <xdr:rowOff>998483</xdr:rowOff>
    </xdr:to>
    <xdr:cxnSp macro="">
      <xdr:nvCxnSpPr>
        <xdr:cNvPr id="156" name="Прямая со стрелкой 15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7730" y="15262025"/>
          <a:ext cx="0" cy="319561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885019</xdr:colOff>
      <xdr:row>27</xdr:row>
      <xdr:rowOff>880875</xdr:rowOff>
    </xdr:from>
    <xdr:to>
      <xdr:col>3</xdr:col>
      <xdr:colOff>957019</xdr:colOff>
      <xdr:row>27</xdr:row>
      <xdr:rowOff>952875</xdr:rowOff>
    </xdr:to>
    <xdr:sp macro="" textlink="">
      <xdr:nvSpPr>
        <xdr:cNvPr id="159" name="5-конечная звезда 158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25584" y="2307826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427588</xdr:colOff>
      <xdr:row>27</xdr:row>
      <xdr:rowOff>613518</xdr:rowOff>
    </xdr:from>
    <xdr:to>
      <xdr:col>5</xdr:col>
      <xdr:colOff>585431</xdr:colOff>
      <xdr:row>27</xdr:row>
      <xdr:rowOff>800250</xdr:rowOff>
    </xdr:to>
    <xdr:sp macro="" textlink="">
      <xdr:nvSpPr>
        <xdr:cNvPr id="166" name="Стрелка вправо 165"/>
        <xdr:cNvSpPr/>
      </xdr:nvSpPr>
      <xdr:spPr>
        <a:xfrm>
          <a:off x="4945159" y="35012375"/>
          <a:ext cx="157843" cy="186732"/>
        </a:xfrm>
        <a:prstGeom prst="rightArrow">
          <a:avLst/>
        </a:prstGeom>
        <a:solidFill>
          <a:schemeClr val="tx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727443</xdr:colOff>
      <xdr:row>27</xdr:row>
      <xdr:rowOff>584766</xdr:rowOff>
    </xdr:from>
    <xdr:to>
      <xdr:col>5</xdr:col>
      <xdr:colOff>129635</xdr:colOff>
      <xdr:row>27</xdr:row>
      <xdr:rowOff>821819</xdr:rowOff>
    </xdr:to>
    <xdr:sp macro="" textlink="">
      <xdr:nvSpPr>
        <xdr:cNvPr id="167" name="Прямоугольник 166"/>
        <xdr:cNvSpPr/>
      </xdr:nvSpPr>
      <xdr:spPr>
        <a:xfrm>
          <a:off x="3857086" y="34983623"/>
          <a:ext cx="790120" cy="237053"/>
        </a:xfrm>
        <a:prstGeom prst="rect">
          <a:avLst/>
        </a:prstGeom>
        <a:solidFill>
          <a:srgbClr val="0070C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chemeClr val="bg1"/>
              </a:solidFill>
            </a:rPr>
            <a:t>???</a:t>
          </a:r>
        </a:p>
      </xdr:txBody>
    </xdr:sp>
    <xdr:clientData/>
  </xdr:twoCellAnchor>
  <xdr:twoCellAnchor>
    <xdr:from>
      <xdr:col>4</xdr:col>
      <xdr:colOff>1247514</xdr:colOff>
      <xdr:row>27</xdr:row>
      <xdr:rowOff>588053</xdr:rowOff>
    </xdr:from>
    <xdr:to>
      <xdr:col>5</xdr:col>
      <xdr:colOff>655148</xdr:colOff>
      <xdr:row>27</xdr:row>
      <xdr:rowOff>825106</xdr:rowOff>
    </xdr:to>
    <xdr:sp macro="" textlink="">
      <xdr:nvSpPr>
        <xdr:cNvPr id="169" name="Прямоугольник 168"/>
        <xdr:cNvSpPr/>
      </xdr:nvSpPr>
      <xdr:spPr>
        <a:xfrm>
          <a:off x="4377157" y="34986910"/>
          <a:ext cx="795562" cy="237053"/>
        </a:xfrm>
        <a:prstGeom prst="rect">
          <a:avLst/>
        </a:prstGeom>
        <a:noFill/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8</a:t>
          </a:r>
        </a:p>
      </xdr:txBody>
    </xdr:sp>
    <xdr:clientData/>
  </xdr:twoCellAnchor>
  <xdr:twoCellAnchor>
    <xdr:from>
      <xdr:col>3</xdr:col>
      <xdr:colOff>954834</xdr:colOff>
      <xdr:row>28</xdr:row>
      <xdr:rowOff>850281</xdr:rowOff>
    </xdr:from>
    <xdr:to>
      <xdr:col>3</xdr:col>
      <xdr:colOff>1026834</xdr:colOff>
      <xdr:row>28</xdr:row>
      <xdr:rowOff>922281</xdr:rowOff>
    </xdr:to>
    <xdr:sp macro="" textlink="">
      <xdr:nvSpPr>
        <xdr:cNvPr id="172" name="5-конечная звезда 171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97419" y="2458379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520390</xdr:colOff>
      <xdr:row>28</xdr:row>
      <xdr:rowOff>857608</xdr:rowOff>
    </xdr:from>
    <xdr:to>
      <xdr:col>3</xdr:col>
      <xdr:colOff>592390</xdr:colOff>
      <xdr:row>28</xdr:row>
      <xdr:rowOff>929608</xdr:rowOff>
    </xdr:to>
    <xdr:sp macro="" textlink="">
      <xdr:nvSpPr>
        <xdr:cNvPr id="173" name="5-конечная звезда 172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62975" y="24591120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486537</xdr:colOff>
      <xdr:row>28</xdr:row>
      <xdr:rowOff>394138</xdr:rowOff>
    </xdr:from>
    <xdr:to>
      <xdr:col>4</xdr:col>
      <xdr:colOff>883688</xdr:colOff>
      <xdr:row>28</xdr:row>
      <xdr:rowOff>791318</xdr:rowOff>
    </xdr:to>
    <xdr:pic>
      <xdr:nvPicPr>
        <xdr:cNvPr id="174" name="Рисунок 173" descr="Картинки по запросу знак жд переезд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80" y="24115529"/>
          <a:ext cx="397151" cy="3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464540</xdr:colOff>
      <xdr:row>28</xdr:row>
      <xdr:rowOff>771084</xdr:rowOff>
    </xdr:from>
    <xdr:to>
      <xdr:col>4</xdr:col>
      <xdr:colOff>875791</xdr:colOff>
      <xdr:row>28</xdr:row>
      <xdr:rowOff>1137409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 flipV="1">
          <a:off x="3587083" y="24492475"/>
          <a:ext cx="411251" cy="366325"/>
        </a:xfrm>
        <a:prstGeom prst="rect">
          <a:avLst/>
        </a:prstGeom>
      </xdr:spPr>
    </xdr:pic>
    <xdr:clientData/>
  </xdr:twoCellAnchor>
  <xdr:twoCellAnchor editAs="oneCell">
    <xdr:from>
      <xdr:col>5</xdr:col>
      <xdr:colOff>224795</xdr:colOff>
      <xdr:row>28</xdr:row>
      <xdr:rowOff>394138</xdr:rowOff>
    </xdr:from>
    <xdr:to>
      <xdr:col>5</xdr:col>
      <xdr:colOff>621946</xdr:colOff>
      <xdr:row>28</xdr:row>
      <xdr:rowOff>791318</xdr:rowOff>
    </xdr:to>
    <xdr:pic>
      <xdr:nvPicPr>
        <xdr:cNvPr id="176" name="Рисунок 175" descr="Картинки по запросу знак жд переезд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534" y="24115529"/>
          <a:ext cx="397151" cy="3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221848</xdr:colOff>
      <xdr:row>28</xdr:row>
      <xdr:rowOff>771084</xdr:rowOff>
    </xdr:from>
    <xdr:to>
      <xdr:col>5</xdr:col>
      <xdr:colOff>633099</xdr:colOff>
      <xdr:row>28</xdr:row>
      <xdr:rowOff>1137409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V="1">
          <a:off x="4727173" y="38223384"/>
          <a:ext cx="411251" cy="366325"/>
        </a:xfrm>
        <a:prstGeom prst="rect">
          <a:avLst/>
        </a:prstGeom>
      </xdr:spPr>
    </xdr:pic>
    <xdr:clientData/>
  </xdr:twoCellAnchor>
  <xdr:twoCellAnchor editAs="oneCell">
    <xdr:from>
      <xdr:col>4</xdr:col>
      <xdr:colOff>928119</xdr:colOff>
      <xdr:row>53</xdr:row>
      <xdr:rowOff>466724</xdr:rowOff>
    </xdr:from>
    <xdr:to>
      <xdr:col>5</xdr:col>
      <xdr:colOff>247650</xdr:colOff>
      <xdr:row>53</xdr:row>
      <xdr:rowOff>1085849</xdr:rowOff>
    </xdr:to>
    <xdr:pic>
      <xdr:nvPicPr>
        <xdr:cNvPr id="203" name="Рисунок 202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2319" y="31823024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934226</xdr:colOff>
      <xdr:row>53</xdr:row>
      <xdr:rowOff>938962</xdr:rowOff>
    </xdr:from>
    <xdr:to>
      <xdr:col>3</xdr:col>
      <xdr:colOff>1006226</xdr:colOff>
      <xdr:row>53</xdr:row>
      <xdr:rowOff>1010962</xdr:rowOff>
    </xdr:to>
    <xdr:sp macro="" textlink="">
      <xdr:nvSpPr>
        <xdr:cNvPr id="204" name="5-конечная звезда 20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77276" y="3229526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838976</xdr:colOff>
      <xdr:row>55</xdr:row>
      <xdr:rowOff>910387</xdr:rowOff>
    </xdr:from>
    <xdr:to>
      <xdr:col>3</xdr:col>
      <xdr:colOff>910976</xdr:colOff>
      <xdr:row>55</xdr:row>
      <xdr:rowOff>982387</xdr:rowOff>
    </xdr:to>
    <xdr:sp macro="" textlink="">
      <xdr:nvSpPr>
        <xdr:cNvPr id="205" name="5-конечная звезда 20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382026" y="353146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847725</xdr:colOff>
      <xdr:row>55</xdr:row>
      <xdr:rowOff>477982</xdr:rowOff>
    </xdr:from>
    <xdr:to>
      <xdr:col>5</xdr:col>
      <xdr:colOff>133350</xdr:colOff>
      <xdr:row>55</xdr:row>
      <xdr:rowOff>1144732</xdr:rowOff>
    </xdr:to>
    <xdr:pic>
      <xdr:nvPicPr>
        <xdr:cNvPr id="206" name="Рисунок 205" descr="Картинки по запросу знак главная дорог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2316" y="34906527"/>
          <a:ext cx="671079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776654</xdr:colOff>
      <xdr:row>57</xdr:row>
      <xdr:rowOff>674076</xdr:rowOff>
    </xdr:from>
    <xdr:to>
      <xdr:col>3</xdr:col>
      <xdr:colOff>1077058</xdr:colOff>
      <xdr:row>57</xdr:row>
      <xdr:rowOff>674076</xdr:rowOff>
    </xdr:to>
    <xdr:cxnSp macro="">
      <xdr:nvCxnSpPr>
        <xdr:cNvPr id="208" name="Прямая соединительная линия 207"/>
        <xdr:cNvCxnSpPr/>
      </xdr:nvCxnSpPr>
      <xdr:spPr>
        <a:xfrm>
          <a:off x="2315308" y="38129307"/>
          <a:ext cx="300404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664331</xdr:colOff>
      <xdr:row>8</xdr:row>
      <xdr:rowOff>399885</xdr:rowOff>
    </xdr:from>
    <xdr:to>
      <xdr:col>3</xdr:col>
      <xdr:colOff>1132044</xdr:colOff>
      <xdr:row>8</xdr:row>
      <xdr:rowOff>867598</xdr:rowOff>
    </xdr:to>
    <xdr:sp macro="" textlink="">
      <xdr:nvSpPr>
        <xdr:cNvPr id="154" name="Овал 153"/>
        <xdr:cNvSpPr/>
      </xdr:nvSpPr>
      <xdr:spPr>
        <a:xfrm rot="14674973">
          <a:off x="2201469" y="4314988"/>
          <a:ext cx="467713" cy="467713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73638</xdr:colOff>
      <xdr:row>8</xdr:row>
      <xdr:rowOff>103355</xdr:rowOff>
    </xdr:from>
    <xdr:to>
      <xdr:col>3</xdr:col>
      <xdr:colOff>1443689</xdr:colOff>
      <xdr:row>8</xdr:row>
      <xdr:rowOff>754405</xdr:rowOff>
    </xdr:to>
    <xdr:cxnSp macro="">
      <xdr:nvCxnSpPr>
        <xdr:cNvPr id="155" name="Прямая со стрелкой 154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H="1">
          <a:off x="1610776" y="4018458"/>
          <a:ext cx="1370051" cy="65105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1117250</xdr:colOff>
      <xdr:row>8</xdr:row>
      <xdr:rowOff>1241333</xdr:rowOff>
    </xdr:from>
    <xdr:to>
      <xdr:col>3</xdr:col>
      <xdr:colOff>1189250</xdr:colOff>
      <xdr:row>8</xdr:row>
      <xdr:rowOff>1316646</xdr:rowOff>
    </xdr:to>
    <xdr:sp macro="" textlink="">
      <xdr:nvSpPr>
        <xdr:cNvPr id="157" name="Овал 156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 rot="14674973">
          <a:off x="2652731" y="5158093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418869</xdr:colOff>
      <xdr:row>8</xdr:row>
      <xdr:rowOff>508292</xdr:rowOff>
    </xdr:from>
    <xdr:to>
      <xdr:col>3</xdr:col>
      <xdr:colOff>975205</xdr:colOff>
      <xdr:row>8</xdr:row>
      <xdr:rowOff>1432165</xdr:rowOff>
    </xdr:to>
    <xdr:sp macro="" textlink="">
      <xdr:nvSpPr>
        <xdr:cNvPr id="158" name="Полилиния 157"/>
        <xdr:cNvSpPr/>
      </xdr:nvSpPr>
      <xdr:spPr>
        <a:xfrm rot="14674973">
          <a:off x="1772238" y="4607164"/>
          <a:ext cx="923873" cy="556336"/>
        </a:xfrm>
        <a:custGeom>
          <a:avLst/>
          <a:gdLst>
            <a:gd name="connsiteX0" fmla="*/ 0 w 684609"/>
            <a:gd name="connsiteY0" fmla="*/ 619125 h 619125"/>
            <a:gd name="connsiteX1" fmla="*/ 333375 w 684609"/>
            <a:gd name="connsiteY1" fmla="*/ 410766 h 619125"/>
            <a:gd name="connsiteX2" fmla="*/ 684609 w 684609"/>
            <a:gd name="connsiteY2" fmla="*/ 0 h 619125"/>
            <a:gd name="connsiteX0" fmla="*/ 0 w 731192"/>
            <a:gd name="connsiteY0" fmla="*/ 640626 h 640626"/>
            <a:gd name="connsiteX1" fmla="*/ 379958 w 731192"/>
            <a:gd name="connsiteY1" fmla="*/ 410766 h 640626"/>
            <a:gd name="connsiteX2" fmla="*/ 731192 w 731192"/>
            <a:gd name="connsiteY2" fmla="*/ 0 h 640626"/>
            <a:gd name="connsiteX0" fmla="*/ 0 w 766203"/>
            <a:gd name="connsiteY0" fmla="*/ 653080 h 653080"/>
            <a:gd name="connsiteX1" fmla="*/ 414969 w 766203"/>
            <a:gd name="connsiteY1" fmla="*/ 410766 h 653080"/>
            <a:gd name="connsiteX2" fmla="*/ 766203 w 766203"/>
            <a:gd name="connsiteY2" fmla="*/ 0 h 653080"/>
            <a:gd name="connsiteX0" fmla="*/ 0 w 766203"/>
            <a:gd name="connsiteY0" fmla="*/ 653080 h 653080"/>
            <a:gd name="connsiteX1" fmla="*/ 534515 w 766203"/>
            <a:gd name="connsiteY1" fmla="*/ 511212 h 653080"/>
            <a:gd name="connsiteX2" fmla="*/ 766203 w 766203"/>
            <a:gd name="connsiteY2" fmla="*/ 0 h 653080"/>
            <a:gd name="connsiteX0" fmla="*/ 0 w 897615"/>
            <a:gd name="connsiteY0" fmla="*/ 546995 h 546995"/>
            <a:gd name="connsiteX1" fmla="*/ 534515 w 897615"/>
            <a:gd name="connsiteY1" fmla="*/ 405127 h 546995"/>
            <a:gd name="connsiteX2" fmla="*/ 897615 w 897615"/>
            <a:gd name="connsiteY2" fmla="*/ 0 h 546995"/>
            <a:gd name="connsiteX0" fmla="*/ 0 w 897615"/>
            <a:gd name="connsiteY0" fmla="*/ 546995 h 546995"/>
            <a:gd name="connsiteX1" fmla="*/ 534515 w 897615"/>
            <a:gd name="connsiteY1" fmla="*/ 405127 h 546995"/>
            <a:gd name="connsiteX2" fmla="*/ 897615 w 897615"/>
            <a:gd name="connsiteY2" fmla="*/ 0 h 546995"/>
            <a:gd name="connsiteX0" fmla="*/ 0 w 897615"/>
            <a:gd name="connsiteY0" fmla="*/ 546995 h 546995"/>
            <a:gd name="connsiteX1" fmla="*/ 534515 w 897615"/>
            <a:gd name="connsiteY1" fmla="*/ 405127 h 546995"/>
            <a:gd name="connsiteX2" fmla="*/ 857734 w 897615"/>
            <a:gd name="connsiteY2" fmla="*/ 150644 h 546995"/>
            <a:gd name="connsiteX3" fmla="*/ 897615 w 897615"/>
            <a:gd name="connsiteY3" fmla="*/ 0 h 546995"/>
            <a:gd name="connsiteX0" fmla="*/ 0 w 923873"/>
            <a:gd name="connsiteY0" fmla="*/ 556336 h 556336"/>
            <a:gd name="connsiteX1" fmla="*/ 534515 w 923873"/>
            <a:gd name="connsiteY1" fmla="*/ 414468 h 556336"/>
            <a:gd name="connsiteX2" fmla="*/ 857734 w 923873"/>
            <a:gd name="connsiteY2" fmla="*/ 159985 h 556336"/>
            <a:gd name="connsiteX3" fmla="*/ 923873 w 923873"/>
            <a:gd name="connsiteY3" fmla="*/ 0 h 556336"/>
            <a:gd name="connsiteX0" fmla="*/ 0 w 923873"/>
            <a:gd name="connsiteY0" fmla="*/ 556336 h 556336"/>
            <a:gd name="connsiteX1" fmla="*/ 560478 w 923873"/>
            <a:gd name="connsiteY1" fmla="*/ 390441 h 556336"/>
            <a:gd name="connsiteX2" fmla="*/ 857734 w 923873"/>
            <a:gd name="connsiteY2" fmla="*/ 159985 h 556336"/>
            <a:gd name="connsiteX3" fmla="*/ 923873 w 923873"/>
            <a:gd name="connsiteY3" fmla="*/ 0 h 5563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923873" h="556336">
              <a:moveTo>
                <a:pt x="0" y="556336"/>
              </a:moveTo>
              <a:cubicBezTo>
                <a:pt x="109636" y="503750"/>
                <a:pt x="446376" y="493629"/>
                <a:pt x="560478" y="390441"/>
              </a:cubicBezTo>
              <a:cubicBezTo>
                <a:pt x="695249" y="331403"/>
                <a:pt x="797217" y="227506"/>
                <a:pt x="857734" y="159985"/>
              </a:cubicBezTo>
              <a:cubicBezTo>
                <a:pt x="918251" y="92464"/>
                <a:pt x="909042" y="32127"/>
                <a:pt x="923873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929847</xdr:colOff>
      <xdr:row>8</xdr:row>
      <xdr:rowOff>240512</xdr:rowOff>
    </xdr:from>
    <xdr:to>
      <xdr:col>4</xdr:col>
      <xdr:colOff>66068</xdr:colOff>
      <xdr:row>8</xdr:row>
      <xdr:rowOff>1162101</xdr:rowOff>
    </xdr:to>
    <xdr:sp macro="" textlink="">
      <xdr:nvSpPr>
        <xdr:cNvPr id="160" name="Полилиния 159"/>
        <xdr:cNvSpPr/>
      </xdr:nvSpPr>
      <xdr:spPr>
        <a:xfrm rot="14674973">
          <a:off x="2365861" y="4256739"/>
          <a:ext cx="921589" cy="719342"/>
        </a:xfrm>
        <a:custGeom>
          <a:avLst/>
          <a:gdLst>
            <a:gd name="connsiteX0" fmla="*/ 0 w 720328"/>
            <a:gd name="connsiteY0" fmla="*/ 0 h 500063"/>
            <a:gd name="connsiteX1" fmla="*/ 375047 w 720328"/>
            <a:gd name="connsiteY1" fmla="*/ 190500 h 500063"/>
            <a:gd name="connsiteX2" fmla="*/ 720328 w 720328"/>
            <a:gd name="connsiteY2" fmla="*/ 500063 h 500063"/>
            <a:gd name="connsiteX0" fmla="*/ 0 w 800277"/>
            <a:gd name="connsiteY0" fmla="*/ 0 h 530782"/>
            <a:gd name="connsiteX1" fmla="*/ 454996 w 800277"/>
            <a:gd name="connsiteY1" fmla="*/ 221219 h 530782"/>
            <a:gd name="connsiteX2" fmla="*/ 800277 w 800277"/>
            <a:gd name="connsiteY2" fmla="*/ 530782 h 530782"/>
            <a:gd name="connsiteX0" fmla="*/ 0 w 896385"/>
            <a:gd name="connsiteY0" fmla="*/ 0 h 634636"/>
            <a:gd name="connsiteX1" fmla="*/ 454996 w 896385"/>
            <a:gd name="connsiteY1" fmla="*/ 221219 h 634636"/>
            <a:gd name="connsiteX2" fmla="*/ 896385 w 896385"/>
            <a:gd name="connsiteY2" fmla="*/ 634636 h 634636"/>
            <a:gd name="connsiteX0" fmla="*/ 0 w 896385"/>
            <a:gd name="connsiteY0" fmla="*/ 0 h 634636"/>
            <a:gd name="connsiteX1" fmla="*/ 454996 w 896385"/>
            <a:gd name="connsiteY1" fmla="*/ 221219 h 634636"/>
            <a:gd name="connsiteX2" fmla="*/ 896385 w 896385"/>
            <a:gd name="connsiteY2" fmla="*/ 634636 h 634636"/>
            <a:gd name="connsiteX0" fmla="*/ 0 w 921589"/>
            <a:gd name="connsiteY0" fmla="*/ 0 h 719342"/>
            <a:gd name="connsiteX1" fmla="*/ 454996 w 921589"/>
            <a:gd name="connsiteY1" fmla="*/ 221219 h 719342"/>
            <a:gd name="connsiteX2" fmla="*/ 921589 w 921589"/>
            <a:gd name="connsiteY2" fmla="*/ 719342 h 719342"/>
            <a:gd name="connsiteX0" fmla="*/ 0 w 921589"/>
            <a:gd name="connsiteY0" fmla="*/ 0 h 719342"/>
            <a:gd name="connsiteX1" fmla="*/ 543405 w 921589"/>
            <a:gd name="connsiteY1" fmla="*/ 234139 h 719342"/>
            <a:gd name="connsiteX2" fmla="*/ 921589 w 921589"/>
            <a:gd name="connsiteY2" fmla="*/ 719342 h 719342"/>
            <a:gd name="connsiteX0" fmla="*/ 0 w 921589"/>
            <a:gd name="connsiteY0" fmla="*/ 0 h 719342"/>
            <a:gd name="connsiteX1" fmla="*/ 549338 w 921589"/>
            <a:gd name="connsiteY1" fmla="*/ 236958 h 719342"/>
            <a:gd name="connsiteX2" fmla="*/ 921589 w 921589"/>
            <a:gd name="connsiteY2" fmla="*/ 719342 h 7193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21589" h="719342">
              <a:moveTo>
                <a:pt x="0" y="0"/>
              </a:moveTo>
              <a:cubicBezTo>
                <a:pt x="127496" y="53578"/>
                <a:pt x="429283" y="153614"/>
                <a:pt x="549338" y="236958"/>
              </a:cubicBezTo>
              <a:cubicBezTo>
                <a:pt x="669393" y="320302"/>
                <a:pt x="875295" y="543199"/>
                <a:pt x="921589" y="71934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991914</xdr:colOff>
      <xdr:row>8</xdr:row>
      <xdr:rowOff>926225</xdr:rowOff>
    </xdr:from>
    <xdr:to>
      <xdr:col>3</xdr:col>
      <xdr:colOff>1077310</xdr:colOff>
      <xdr:row>8</xdr:row>
      <xdr:rowOff>1011621</xdr:rowOff>
    </xdr:to>
    <xdr:sp macro="" textlink="">
      <xdr:nvSpPr>
        <xdr:cNvPr id="31" name="Прямоугольник 30"/>
        <xdr:cNvSpPr/>
      </xdr:nvSpPr>
      <xdr:spPr>
        <a:xfrm rot="2400000">
          <a:off x="2529052" y="4841328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978776</xdr:colOff>
      <xdr:row>8</xdr:row>
      <xdr:rowOff>801415</xdr:rowOff>
    </xdr:from>
    <xdr:to>
      <xdr:col>3</xdr:col>
      <xdr:colOff>1064172</xdr:colOff>
      <xdr:row>8</xdr:row>
      <xdr:rowOff>886811</xdr:rowOff>
    </xdr:to>
    <xdr:sp macro="" textlink="">
      <xdr:nvSpPr>
        <xdr:cNvPr id="161" name="Прямоугольник 160"/>
        <xdr:cNvSpPr/>
      </xdr:nvSpPr>
      <xdr:spPr>
        <a:xfrm rot="2400000">
          <a:off x="2515914" y="4716518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3</xdr:col>
      <xdr:colOff>932793</xdr:colOff>
      <xdr:row>8</xdr:row>
      <xdr:rowOff>1005053</xdr:rowOff>
    </xdr:from>
    <xdr:to>
      <xdr:col>3</xdr:col>
      <xdr:colOff>1018189</xdr:colOff>
      <xdr:row>8</xdr:row>
      <xdr:rowOff>1090449</xdr:rowOff>
    </xdr:to>
    <xdr:sp macro="" textlink="">
      <xdr:nvSpPr>
        <xdr:cNvPr id="229" name="Прямоугольник 228"/>
        <xdr:cNvSpPr/>
      </xdr:nvSpPr>
      <xdr:spPr>
        <a:xfrm rot="2400000">
          <a:off x="2469931" y="4920156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3</xdr:col>
      <xdr:colOff>486273</xdr:colOff>
      <xdr:row>4</xdr:row>
      <xdr:rowOff>2196789</xdr:rowOff>
    </xdr:from>
    <xdr:to>
      <xdr:col>3</xdr:col>
      <xdr:colOff>630568</xdr:colOff>
      <xdr:row>4</xdr:row>
      <xdr:rowOff>2340670</xdr:rowOff>
    </xdr:to>
    <xdr:sp macro="" textlink="">
      <xdr:nvSpPr>
        <xdr:cNvPr id="230" name="Овал 22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032685" y="3093260"/>
          <a:ext cx="144295" cy="143881"/>
        </a:xfrm>
        <a:prstGeom prst="ellipse">
          <a:avLst/>
        </a:prstGeom>
        <a:solidFill>
          <a:schemeClr val="tx1"/>
        </a:solidFill>
        <a:ln w="349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425823</xdr:colOff>
      <xdr:row>4</xdr:row>
      <xdr:rowOff>78441</xdr:rowOff>
    </xdr:from>
    <xdr:to>
      <xdr:col>5</xdr:col>
      <xdr:colOff>201914</xdr:colOff>
      <xdr:row>4</xdr:row>
      <xdr:rowOff>2886245</xdr:rowOff>
    </xdr:to>
    <xdr:sp macro="" textlink="">
      <xdr:nvSpPr>
        <xdr:cNvPr id="232" name="Полилиния 231"/>
        <xdr:cNvSpPr/>
      </xdr:nvSpPr>
      <xdr:spPr>
        <a:xfrm>
          <a:off x="1972235" y="974912"/>
          <a:ext cx="2734444" cy="2807804"/>
        </a:xfrm>
        <a:custGeom>
          <a:avLst/>
          <a:gdLst>
            <a:gd name="connsiteX0" fmla="*/ 2733261 w 2733261"/>
            <a:gd name="connsiteY0" fmla="*/ 0 h 2807804"/>
            <a:gd name="connsiteX1" fmla="*/ 2733261 w 2733261"/>
            <a:gd name="connsiteY1" fmla="*/ 1300369 h 2807804"/>
            <a:gd name="connsiteX2" fmla="*/ 2236305 w 2733261"/>
            <a:gd name="connsiteY2" fmla="*/ 1300369 h 2807804"/>
            <a:gd name="connsiteX3" fmla="*/ 2236305 w 2733261"/>
            <a:gd name="connsiteY3" fmla="*/ 289891 h 2807804"/>
            <a:gd name="connsiteX4" fmla="*/ 381000 w 2733261"/>
            <a:gd name="connsiteY4" fmla="*/ 289891 h 2807804"/>
            <a:gd name="connsiteX5" fmla="*/ 381000 w 2733261"/>
            <a:gd name="connsiteY5" fmla="*/ 579782 h 2807804"/>
            <a:gd name="connsiteX6" fmla="*/ 149087 w 2733261"/>
            <a:gd name="connsiteY6" fmla="*/ 811695 h 2807804"/>
            <a:gd name="connsiteX7" fmla="*/ 0 w 2733261"/>
            <a:gd name="connsiteY7" fmla="*/ 811695 h 2807804"/>
            <a:gd name="connsiteX8" fmla="*/ 0 w 2733261"/>
            <a:gd name="connsiteY8" fmla="*/ 2426804 h 2807804"/>
            <a:gd name="connsiteX9" fmla="*/ 1027044 w 2733261"/>
            <a:gd name="connsiteY9" fmla="*/ 2426804 h 2807804"/>
            <a:gd name="connsiteX10" fmla="*/ 1027044 w 2733261"/>
            <a:gd name="connsiteY10" fmla="*/ 2807804 h 28078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733261" h="2807804">
              <a:moveTo>
                <a:pt x="2733261" y="0"/>
              </a:moveTo>
              <a:lnTo>
                <a:pt x="2733261" y="1300369"/>
              </a:lnTo>
              <a:lnTo>
                <a:pt x="2236305" y="1300369"/>
              </a:lnTo>
              <a:lnTo>
                <a:pt x="2236305" y="289891"/>
              </a:lnTo>
              <a:lnTo>
                <a:pt x="381000" y="289891"/>
              </a:lnTo>
              <a:lnTo>
                <a:pt x="381000" y="579782"/>
              </a:lnTo>
              <a:lnTo>
                <a:pt x="149087" y="811695"/>
              </a:lnTo>
              <a:lnTo>
                <a:pt x="0" y="811695"/>
              </a:lnTo>
              <a:lnTo>
                <a:pt x="0" y="2426804"/>
              </a:lnTo>
              <a:lnTo>
                <a:pt x="1027044" y="2426804"/>
              </a:lnTo>
              <a:lnTo>
                <a:pt x="1027044" y="2807804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38516</xdr:colOff>
      <xdr:row>4</xdr:row>
      <xdr:rowOff>1617712</xdr:rowOff>
    </xdr:from>
    <xdr:to>
      <xdr:col>5</xdr:col>
      <xdr:colOff>197207</xdr:colOff>
      <xdr:row>4</xdr:row>
      <xdr:rowOff>2882659</xdr:rowOff>
    </xdr:to>
    <xdr:sp macro="" textlink="">
      <xdr:nvSpPr>
        <xdr:cNvPr id="233" name="Полилиния 232"/>
        <xdr:cNvSpPr/>
      </xdr:nvSpPr>
      <xdr:spPr>
        <a:xfrm>
          <a:off x="3164957" y="2514183"/>
          <a:ext cx="1537015" cy="1264947"/>
        </a:xfrm>
        <a:custGeom>
          <a:avLst/>
          <a:gdLst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167848 w 1532283"/>
            <a:gd name="connsiteY4" fmla="*/ 0 h 1250674"/>
            <a:gd name="connsiteX5" fmla="*/ 1532283 w 1532283"/>
            <a:gd name="connsiteY5" fmla="*/ 0 h 1250674"/>
            <a:gd name="connsiteX6" fmla="*/ 1532283 w 1532283"/>
            <a:gd name="connsiteY6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60174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60174 w 1532283"/>
            <a:gd name="connsiteY2" fmla="*/ 886239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25826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69369 h 1269369"/>
            <a:gd name="connsiteX1" fmla="*/ 0 w 1532283"/>
            <a:gd name="connsiteY1" fmla="*/ 886239 h 1269369"/>
            <a:gd name="connsiteX2" fmla="*/ 1034162 w 1532283"/>
            <a:gd name="connsiteY2" fmla="*/ 881910 h 1269369"/>
            <a:gd name="connsiteX3" fmla="*/ 1034162 w 1532283"/>
            <a:gd name="connsiteY3" fmla="*/ 0 h 1269369"/>
            <a:gd name="connsiteX4" fmla="*/ 1532283 w 1532283"/>
            <a:gd name="connsiteY4" fmla="*/ 0 h 1269369"/>
            <a:gd name="connsiteX5" fmla="*/ 1532283 w 1532283"/>
            <a:gd name="connsiteY5" fmla="*/ 1250674 h 1269369"/>
            <a:gd name="connsiteX0" fmla="*/ 0 w 1532283"/>
            <a:gd name="connsiteY0" fmla="*/ 1236712 h 1250674"/>
            <a:gd name="connsiteX1" fmla="*/ 0 w 1532283"/>
            <a:gd name="connsiteY1" fmla="*/ 886239 h 1250674"/>
            <a:gd name="connsiteX2" fmla="*/ 1034162 w 1532283"/>
            <a:gd name="connsiteY2" fmla="*/ 881910 h 1250674"/>
            <a:gd name="connsiteX3" fmla="*/ 1034162 w 1532283"/>
            <a:gd name="connsiteY3" fmla="*/ 0 h 1250674"/>
            <a:gd name="connsiteX4" fmla="*/ 1532283 w 1532283"/>
            <a:gd name="connsiteY4" fmla="*/ 0 h 1250674"/>
            <a:gd name="connsiteX5" fmla="*/ 1532283 w 1532283"/>
            <a:gd name="connsiteY5" fmla="*/ 1250674 h 1250674"/>
            <a:gd name="connsiteX0" fmla="*/ 0 w 1532283"/>
            <a:gd name="connsiteY0" fmla="*/ 1253041 h 1253041"/>
            <a:gd name="connsiteX1" fmla="*/ 0 w 1532283"/>
            <a:gd name="connsiteY1" fmla="*/ 886239 h 1253041"/>
            <a:gd name="connsiteX2" fmla="*/ 1034162 w 1532283"/>
            <a:gd name="connsiteY2" fmla="*/ 881910 h 1253041"/>
            <a:gd name="connsiteX3" fmla="*/ 1034162 w 1532283"/>
            <a:gd name="connsiteY3" fmla="*/ 0 h 1253041"/>
            <a:gd name="connsiteX4" fmla="*/ 1532283 w 1532283"/>
            <a:gd name="connsiteY4" fmla="*/ 0 h 1253041"/>
            <a:gd name="connsiteX5" fmla="*/ 1532283 w 1532283"/>
            <a:gd name="connsiteY5" fmla="*/ 1250674 h 1253041"/>
            <a:gd name="connsiteX0" fmla="*/ 5961 w 1532283"/>
            <a:gd name="connsiteY0" fmla="*/ 1264947 h 1264947"/>
            <a:gd name="connsiteX1" fmla="*/ 0 w 1532283"/>
            <a:gd name="connsiteY1" fmla="*/ 886239 h 1264947"/>
            <a:gd name="connsiteX2" fmla="*/ 1034162 w 1532283"/>
            <a:gd name="connsiteY2" fmla="*/ 881910 h 1264947"/>
            <a:gd name="connsiteX3" fmla="*/ 1034162 w 1532283"/>
            <a:gd name="connsiteY3" fmla="*/ 0 h 1264947"/>
            <a:gd name="connsiteX4" fmla="*/ 1532283 w 1532283"/>
            <a:gd name="connsiteY4" fmla="*/ 0 h 1264947"/>
            <a:gd name="connsiteX5" fmla="*/ 1532283 w 1532283"/>
            <a:gd name="connsiteY5" fmla="*/ 1250674 h 12649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532283" h="1264947">
              <a:moveTo>
                <a:pt x="5961" y="1264947"/>
              </a:moveTo>
              <a:lnTo>
                <a:pt x="0" y="886239"/>
              </a:lnTo>
              <a:lnTo>
                <a:pt x="1034162" y="881910"/>
              </a:lnTo>
              <a:lnTo>
                <a:pt x="1034162" y="0"/>
              </a:lnTo>
              <a:lnTo>
                <a:pt x="1532283" y="0"/>
              </a:lnTo>
              <a:lnTo>
                <a:pt x="1532283" y="1250674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518659</xdr:colOff>
      <xdr:row>4</xdr:row>
      <xdr:rowOff>1694653</xdr:rowOff>
    </xdr:from>
    <xdr:to>
      <xdr:col>5</xdr:col>
      <xdr:colOff>798375</xdr:colOff>
      <xdr:row>4</xdr:row>
      <xdr:rowOff>2872564</xdr:rowOff>
    </xdr:to>
    <xdr:sp macro="" textlink="">
      <xdr:nvSpPr>
        <xdr:cNvPr id="235" name="Полилиния 234"/>
        <xdr:cNvSpPr/>
      </xdr:nvSpPr>
      <xdr:spPr>
        <a:xfrm>
          <a:off x="5023424" y="2591124"/>
          <a:ext cx="279716" cy="1177911"/>
        </a:xfrm>
        <a:custGeom>
          <a:avLst/>
          <a:gdLst>
            <a:gd name="connsiteX0" fmla="*/ 257735 w 257735"/>
            <a:gd name="connsiteY0" fmla="*/ 56029 h 1053353"/>
            <a:gd name="connsiteX1" fmla="*/ 0 w 257735"/>
            <a:gd name="connsiteY1" fmla="*/ 0 h 1053353"/>
            <a:gd name="connsiteX2" fmla="*/ 0 w 257735"/>
            <a:gd name="connsiteY2" fmla="*/ 1053353 h 1053353"/>
            <a:gd name="connsiteX0" fmla="*/ 279716 w 279716"/>
            <a:gd name="connsiteY0" fmla="*/ 41375 h 1053353"/>
            <a:gd name="connsiteX1" fmla="*/ 0 w 279716"/>
            <a:gd name="connsiteY1" fmla="*/ 0 h 1053353"/>
            <a:gd name="connsiteX2" fmla="*/ 0 w 279716"/>
            <a:gd name="connsiteY2" fmla="*/ 1053353 h 1053353"/>
            <a:gd name="connsiteX0" fmla="*/ 279716 w 279716"/>
            <a:gd name="connsiteY0" fmla="*/ 41375 h 1177911"/>
            <a:gd name="connsiteX1" fmla="*/ 0 w 279716"/>
            <a:gd name="connsiteY1" fmla="*/ 0 h 1177911"/>
            <a:gd name="connsiteX2" fmla="*/ 0 w 279716"/>
            <a:gd name="connsiteY2" fmla="*/ 1177911 h 1177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79716" h="1177911">
              <a:moveTo>
                <a:pt x="279716" y="41375"/>
              </a:moveTo>
              <a:lnTo>
                <a:pt x="0" y="0"/>
              </a:lnTo>
              <a:lnTo>
                <a:pt x="0" y="1177911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511085</xdr:colOff>
      <xdr:row>4</xdr:row>
      <xdr:rowOff>1530488</xdr:rowOff>
    </xdr:from>
    <xdr:to>
      <xdr:col>5</xdr:col>
      <xdr:colOff>384345</xdr:colOff>
      <xdr:row>4</xdr:row>
      <xdr:rowOff>2278549</xdr:rowOff>
    </xdr:to>
    <xdr:sp macro="" textlink="">
      <xdr:nvSpPr>
        <xdr:cNvPr id="236" name="Полилиния 235"/>
        <xdr:cNvSpPr/>
      </xdr:nvSpPr>
      <xdr:spPr>
        <a:xfrm>
          <a:off x="2057497" y="2426959"/>
          <a:ext cx="2831613" cy="748061"/>
        </a:xfrm>
        <a:custGeom>
          <a:avLst/>
          <a:gdLst>
            <a:gd name="connsiteX0" fmla="*/ 2824976 w 2824976"/>
            <a:gd name="connsiteY0" fmla="*/ 427464 h 748061"/>
            <a:gd name="connsiteX1" fmla="*/ 2824976 w 2824976"/>
            <a:gd name="connsiteY1" fmla="*/ 0 h 748061"/>
            <a:gd name="connsiteX2" fmla="*/ 1983988 w 2824976"/>
            <a:gd name="connsiteY2" fmla="*/ 0 h 748061"/>
            <a:gd name="connsiteX3" fmla="*/ 1983988 w 2824976"/>
            <a:gd name="connsiteY3" fmla="*/ 748061 h 748061"/>
            <a:gd name="connsiteX4" fmla="*/ 0 w 2824976"/>
            <a:gd name="connsiteY4" fmla="*/ 748061 h 74806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2824976" h="748061">
              <a:moveTo>
                <a:pt x="2824976" y="427464"/>
              </a:moveTo>
              <a:lnTo>
                <a:pt x="2824976" y="0"/>
              </a:lnTo>
              <a:lnTo>
                <a:pt x="1983988" y="0"/>
              </a:lnTo>
              <a:lnTo>
                <a:pt x="1983988" y="748061"/>
              </a:lnTo>
              <a:lnTo>
                <a:pt x="0" y="748061"/>
              </a:lnTo>
            </a:path>
          </a:pathLst>
        </a:custGeom>
        <a:noFill/>
        <a:ln w="317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773445</xdr:colOff>
      <xdr:row>5</xdr:row>
      <xdr:rowOff>1375426</xdr:rowOff>
    </xdr:from>
    <xdr:to>
      <xdr:col>3</xdr:col>
      <xdr:colOff>848758</xdr:colOff>
      <xdr:row>5</xdr:row>
      <xdr:rowOff>1447426</xdr:rowOff>
    </xdr:to>
    <xdr:sp macro="" textlink="">
      <xdr:nvSpPr>
        <xdr:cNvPr id="238" name="Овал 237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319857" y="5319897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802856</xdr:colOff>
      <xdr:row>5</xdr:row>
      <xdr:rowOff>100853</xdr:rowOff>
    </xdr:from>
    <xdr:to>
      <xdr:col>3</xdr:col>
      <xdr:colOff>802856</xdr:colOff>
      <xdr:row>5</xdr:row>
      <xdr:rowOff>1429663</xdr:rowOff>
    </xdr:to>
    <xdr:cxnSp macro="">
      <xdr:nvCxnSpPr>
        <xdr:cNvPr id="239" name="Прямая со стрелкой 238">
          <a:extLst>
            <a:ext uri="{FF2B5EF4-FFF2-40B4-BE49-F238E27FC236}">
              <a16:creationId xmlns:a16="http://schemas.microsoft.com/office/drawing/2014/main" id="{00000000-0008-0000-0900-00003B020000}"/>
            </a:ext>
          </a:extLst>
        </xdr:cNvPr>
        <xdr:cNvCxnSpPr/>
      </xdr:nvCxnSpPr>
      <xdr:spPr>
        <a:xfrm flipV="1">
          <a:off x="2349268" y="4045324"/>
          <a:ext cx="0" cy="1328810"/>
        </a:xfrm>
        <a:prstGeom prst="straightConnector1">
          <a:avLst/>
        </a:prstGeom>
        <a:ln w="19050"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89647</xdr:colOff>
      <xdr:row>5</xdr:row>
      <xdr:rowOff>760651</xdr:rowOff>
    </xdr:from>
    <xdr:to>
      <xdr:col>3</xdr:col>
      <xdr:colOff>1536637</xdr:colOff>
      <xdr:row>5</xdr:row>
      <xdr:rowOff>760651</xdr:rowOff>
    </xdr:to>
    <xdr:cxnSp macro="">
      <xdr:nvCxnSpPr>
        <xdr:cNvPr id="240" name="Прямая со стрелкой 239">
          <a:extLst>
            <a:ext uri="{FF2B5EF4-FFF2-40B4-BE49-F238E27FC236}">
              <a16:creationId xmlns:a16="http://schemas.microsoft.com/office/drawing/2014/main" id="{00000000-0008-0000-0900-00003C020000}"/>
            </a:ext>
          </a:extLst>
        </xdr:cNvPr>
        <xdr:cNvCxnSpPr/>
      </xdr:nvCxnSpPr>
      <xdr:spPr>
        <a:xfrm flipH="1">
          <a:off x="1636059" y="4705122"/>
          <a:ext cx="1446990" cy="0"/>
        </a:xfrm>
        <a:prstGeom prst="straightConnector1">
          <a:avLst/>
        </a:prstGeom>
        <a:ln w="19050"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869915</xdr:colOff>
      <xdr:row>5</xdr:row>
      <xdr:rowOff>826186</xdr:rowOff>
    </xdr:from>
    <xdr:to>
      <xdr:col>3</xdr:col>
      <xdr:colOff>941915</xdr:colOff>
      <xdr:row>5</xdr:row>
      <xdr:rowOff>898186</xdr:rowOff>
    </xdr:to>
    <xdr:sp macro="" textlink="">
      <xdr:nvSpPr>
        <xdr:cNvPr id="241" name="5-конечная звезда 240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SpPr/>
      </xdr:nvSpPr>
      <xdr:spPr>
        <a:xfrm>
          <a:off x="2416327" y="477065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1085371</xdr:colOff>
      <xdr:row>5</xdr:row>
      <xdr:rowOff>313765</xdr:rowOff>
    </xdr:from>
    <xdr:to>
      <xdr:col>5</xdr:col>
      <xdr:colOff>14826</xdr:colOff>
      <xdr:row>5</xdr:row>
      <xdr:rowOff>1179201</xdr:rowOff>
    </xdr:to>
    <xdr:grpSp>
      <xdr:nvGrpSpPr>
        <xdr:cNvPr id="242" name="Группа 241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GrpSpPr/>
      </xdr:nvGrpSpPr>
      <xdr:grpSpPr>
        <a:xfrm>
          <a:off x="4211812" y="4258236"/>
          <a:ext cx="307779" cy="865436"/>
          <a:chOff x="635632" y="15053070"/>
          <a:chExt cx="102554" cy="297657"/>
        </a:xfrm>
      </xdr:grpSpPr>
      <xdr:sp macro="" textlink="">
        <xdr:nvSpPr>
          <xdr:cNvPr id="243" name="Прямоугольник 242">
            <a:extLst>
              <a:ext uri="{FF2B5EF4-FFF2-40B4-BE49-F238E27FC236}">
                <a16:creationId xmlns:a16="http://schemas.microsoft.com/office/drawing/2014/main" id="{00000000-0008-0000-0600-000046000000}"/>
              </a:ext>
            </a:extLst>
          </xdr:cNvPr>
          <xdr:cNvSpPr/>
        </xdr:nvSpPr>
        <xdr:spPr>
          <a:xfrm flipH="1">
            <a:off x="635632" y="15053070"/>
            <a:ext cx="102554" cy="297657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44" name="Овал 243">
            <a:extLst>
              <a:ext uri="{FF2B5EF4-FFF2-40B4-BE49-F238E27FC236}">
                <a16:creationId xmlns:a16="http://schemas.microsoft.com/office/drawing/2014/main" id="{00000000-0008-0000-0600-000047000000}"/>
              </a:ext>
            </a:extLst>
          </xdr:cNvPr>
          <xdr:cNvSpPr/>
        </xdr:nvSpPr>
        <xdr:spPr>
          <a:xfrm flipH="1">
            <a:off x="650305" y="15069367"/>
            <a:ext cx="73208" cy="73208"/>
          </a:xfrm>
          <a:prstGeom prst="ellipse">
            <a:avLst/>
          </a:prstGeom>
          <a:solidFill>
            <a:srgbClr val="FF00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45" name="Овал 244">
            <a:extLst>
              <a:ext uri="{FF2B5EF4-FFF2-40B4-BE49-F238E27FC236}">
                <a16:creationId xmlns:a16="http://schemas.microsoft.com/office/drawing/2014/main" id="{00000000-0008-0000-0600-000048000000}"/>
              </a:ext>
            </a:extLst>
          </xdr:cNvPr>
          <xdr:cNvSpPr/>
        </xdr:nvSpPr>
        <xdr:spPr>
          <a:xfrm flipH="1">
            <a:off x="650305" y="15165295"/>
            <a:ext cx="73208" cy="73208"/>
          </a:xfrm>
          <a:prstGeom prst="ellipse">
            <a:avLst/>
          </a:prstGeom>
          <a:solidFill>
            <a:srgbClr val="FFFF0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46" name="Овал 245">
            <a:extLst>
              <a:ext uri="{FF2B5EF4-FFF2-40B4-BE49-F238E27FC236}">
                <a16:creationId xmlns:a16="http://schemas.microsoft.com/office/drawing/2014/main" id="{00000000-0008-0000-0600-000049000000}"/>
              </a:ext>
            </a:extLst>
          </xdr:cNvPr>
          <xdr:cNvSpPr/>
        </xdr:nvSpPr>
        <xdr:spPr>
          <a:xfrm flipH="1">
            <a:off x="650305" y="15261223"/>
            <a:ext cx="73208" cy="73208"/>
          </a:xfrm>
          <a:prstGeom prst="ellipse">
            <a:avLst/>
          </a:prstGeom>
          <a:solidFill>
            <a:srgbClr val="00B050"/>
          </a:solidFill>
          <a:ln w="635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650418</xdr:colOff>
      <xdr:row>6</xdr:row>
      <xdr:rowOff>501336</xdr:rowOff>
    </xdr:from>
    <xdr:to>
      <xdr:col>3</xdr:col>
      <xdr:colOff>1170717</xdr:colOff>
      <xdr:row>6</xdr:row>
      <xdr:rowOff>1021635</xdr:rowOff>
    </xdr:to>
    <xdr:sp macro="" textlink="">
      <xdr:nvSpPr>
        <xdr:cNvPr id="247" name="Овал 246"/>
        <xdr:cNvSpPr/>
      </xdr:nvSpPr>
      <xdr:spPr>
        <a:xfrm rot="4588809">
          <a:off x="2196830" y="5969807"/>
          <a:ext cx="520299" cy="520299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1025684</xdr:colOff>
      <xdr:row>6</xdr:row>
      <xdr:rowOff>83531</xdr:rowOff>
    </xdr:from>
    <xdr:to>
      <xdr:col>3</xdr:col>
      <xdr:colOff>1322031</xdr:colOff>
      <xdr:row>6</xdr:row>
      <xdr:rowOff>1433530</xdr:rowOff>
    </xdr:to>
    <xdr:cxnSp macro="">
      <xdr:nvCxnSpPr>
        <xdr:cNvPr id="248" name="Прямая соединительная линия 247"/>
        <xdr:cNvCxnSpPr/>
      </xdr:nvCxnSpPr>
      <xdr:spPr>
        <a:xfrm rot="4588809" flipH="1" flipV="1">
          <a:off x="2045270" y="6078828"/>
          <a:ext cx="1349999" cy="296347"/>
        </a:xfrm>
        <a:prstGeom prst="line">
          <a:avLst/>
        </a:prstGeom>
        <a:ln w="19050">
          <a:solidFill>
            <a:schemeClr val="tx1"/>
          </a:solidFill>
          <a:headEnd type="none" w="med" len="lg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862511</xdr:colOff>
      <xdr:row>6</xdr:row>
      <xdr:rowOff>40274</xdr:rowOff>
    </xdr:from>
    <xdr:to>
      <xdr:col>3</xdr:col>
      <xdr:colOff>1463231</xdr:colOff>
      <xdr:row>6</xdr:row>
      <xdr:rowOff>705940</xdr:rowOff>
    </xdr:to>
    <xdr:sp macro="" textlink="">
      <xdr:nvSpPr>
        <xdr:cNvPr id="249" name="Полилиния 248"/>
        <xdr:cNvSpPr/>
      </xdr:nvSpPr>
      <xdr:spPr>
        <a:xfrm rot="4588809">
          <a:off x="2375809" y="5515604"/>
          <a:ext cx="665666" cy="600720"/>
        </a:xfrm>
        <a:custGeom>
          <a:avLst/>
          <a:gdLst>
            <a:gd name="connsiteX0" fmla="*/ 625928 w 625928"/>
            <a:gd name="connsiteY0" fmla="*/ 0 h 602852"/>
            <a:gd name="connsiteX1" fmla="*/ 538843 w 625928"/>
            <a:gd name="connsiteY1" fmla="*/ 304800 h 602852"/>
            <a:gd name="connsiteX2" fmla="*/ 375557 w 625928"/>
            <a:gd name="connsiteY2" fmla="*/ 473529 h 602852"/>
            <a:gd name="connsiteX3" fmla="*/ 304800 w 625928"/>
            <a:gd name="connsiteY3" fmla="*/ 598715 h 602852"/>
            <a:gd name="connsiteX4" fmla="*/ 0 w 625928"/>
            <a:gd name="connsiteY4" fmla="*/ 560615 h 602852"/>
            <a:gd name="connsiteX0" fmla="*/ 625928 w 625928"/>
            <a:gd name="connsiteY0" fmla="*/ 0 h 602115"/>
            <a:gd name="connsiteX1" fmla="*/ 538843 w 625928"/>
            <a:gd name="connsiteY1" fmla="*/ 304800 h 602115"/>
            <a:gd name="connsiteX2" fmla="*/ 375557 w 625928"/>
            <a:gd name="connsiteY2" fmla="*/ 473529 h 602115"/>
            <a:gd name="connsiteX3" fmla="*/ 304800 w 625928"/>
            <a:gd name="connsiteY3" fmla="*/ 598715 h 602115"/>
            <a:gd name="connsiteX4" fmla="*/ 0 w 625928"/>
            <a:gd name="connsiteY4" fmla="*/ 560615 h 602115"/>
            <a:gd name="connsiteX0" fmla="*/ 625928 w 625928"/>
            <a:gd name="connsiteY0" fmla="*/ 0 h 603207"/>
            <a:gd name="connsiteX1" fmla="*/ 538843 w 625928"/>
            <a:gd name="connsiteY1" fmla="*/ 304800 h 603207"/>
            <a:gd name="connsiteX2" fmla="*/ 403435 w 625928"/>
            <a:gd name="connsiteY2" fmla="*/ 454944 h 603207"/>
            <a:gd name="connsiteX3" fmla="*/ 304800 w 625928"/>
            <a:gd name="connsiteY3" fmla="*/ 598715 h 603207"/>
            <a:gd name="connsiteX4" fmla="*/ 0 w 625928"/>
            <a:gd name="connsiteY4" fmla="*/ 560615 h 603207"/>
            <a:gd name="connsiteX0" fmla="*/ 630574 w 630574"/>
            <a:gd name="connsiteY0" fmla="*/ 0 h 602040"/>
            <a:gd name="connsiteX1" fmla="*/ 543489 w 630574"/>
            <a:gd name="connsiteY1" fmla="*/ 304800 h 602040"/>
            <a:gd name="connsiteX2" fmla="*/ 408081 w 630574"/>
            <a:gd name="connsiteY2" fmla="*/ 454944 h 602040"/>
            <a:gd name="connsiteX3" fmla="*/ 309446 w 630574"/>
            <a:gd name="connsiteY3" fmla="*/ 598715 h 602040"/>
            <a:gd name="connsiteX4" fmla="*/ 0 w 630574"/>
            <a:gd name="connsiteY4" fmla="*/ 551322 h 602040"/>
            <a:gd name="connsiteX0" fmla="*/ 665666 w 665666"/>
            <a:gd name="connsiteY0" fmla="*/ 0 h 600720"/>
            <a:gd name="connsiteX1" fmla="*/ 578581 w 665666"/>
            <a:gd name="connsiteY1" fmla="*/ 304800 h 600720"/>
            <a:gd name="connsiteX2" fmla="*/ 443173 w 665666"/>
            <a:gd name="connsiteY2" fmla="*/ 454944 h 600720"/>
            <a:gd name="connsiteX3" fmla="*/ 344538 w 665666"/>
            <a:gd name="connsiteY3" fmla="*/ 598715 h 600720"/>
            <a:gd name="connsiteX4" fmla="*/ 0 w 665666"/>
            <a:gd name="connsiteY4" fmla="*/ 536282 h 6007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65666" h="600720">
              <a:moveTo>
                <a:pt x="665666" y="0"/>
              </a:moveTo>
              <a:cubicBezTo>
                <a:pt x="642987" y="112939"/>
                <a:pt x="615663" y="228976"/>
                <a:pt x="578581" y="304800"/>
              </a:cubicBezTo>
              <a:cubicBezTo>
                <a:pt x="541499" y="380624"/>
                <a:pt x="482180" y="405958"/>
                <a:pt x="443173" y="454944"/>
              </a:cubicBezTo>
              <a:cubicBezTo>
                <a:pt x="404166" y="503930"/>
                <a:pt x="418400" y="585159"/>
                <a:pt x="344538" y="598715"/>
              </a:cubicBezTo>
              <a:cubicBezTo>
                <a:pt x="270676" y="612271"/>
                <a:pt x="135042" y="553297"/>
                <a:pt x="0" y="53628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84102</xdr:colOff>
      <xdr:row>6</xdr:row>
      <xdr:rowOff>219766</xdr:rowOff>
    </xdr:from>
    <xdr:to>
      <xdr:col>3</xdr:col>
      <xdr:colOff>828180</xdr:colOff>
      <xdr:row>6</xdr:row>
      <xdr:rowOff>789713</xdr:rowOff>
    </xdr:to>
    <xdr:sp macro="" textlink="">
      <xdr:nvSpPr>
        <xdr:cNvPr id="250" name="Полилиния 249"/>
        <xdr:cNvSpPr/>
      </xdr:nvSpPr>
      <xdr:spPr>
        <a:xfrm rot="4588809">
          <a:off x="1717579" y="5601172"/>
          <a:ext cx="569947" cy="744078"/>
        </a:xfrm>
        <a:custGeom>
          <a:avLst/>
          <a:gdLst>
            <a:gd name="connsiteX0" fmla="*/ 0 w 496155"/>
            <a:gd name="connsiteY0" fmla="*/ 0 h 734785"/>
            <a:gd name="connsiteX1" fmla="*/ 310243 w 496155"/>
            <a:gd name="connsiteY1" fmla="*/ 65314 h 734785"/>
            <a:gd name="connsiteX2" fmla="*/ 468085 w 496155"/>
            <a:gd name="connsiteY2" fmla="*/ 223157 h 734785"/>
            <a:gd name="connsiteX3" fmla="*/ 495300 w 496155"/>
            <a:gd name="connsiteY3" fmla="*/ 734785 h 734785"/>
            <a:gd name="connsiteX0" fmla="*/ 0 w 497470"/>
            <a:gd name="connsiteY0" fmla="*/ 0 h 734785"/>
            <a:gd name="connsiteX1" fmla="*/ 268426 w 497470"/>
            <a:gd name="connsiteY1" fmla="*/ 56022 h 734785"/>
            <a:gd name="connsiteX2" fmla="*/ 468085 w 497470"/>
            <a:gd name="connsiteY2" fmla="*/ 223157 h 734785"/>
            <a:gd name="connsiteX3" fmla="*/ 495300 w 497470"/>
            <a:gd name="connsiteY3" fmla="*/ 734785 h 734785"/>
            <a:gd name="connsiteX0" fmla="*/ 0 w 501198"/>
            <a:gd name="connsiteY0" fmla="*/ 0 h 734785"/>
            <a:gd name="connsiteX1" fmla="*/ 268426 w 501198"/>
            <a:gd name="connsiteY1" fmla="*/ 56022 h 734785"/>
            <a:gd name="connsiteX2" fmla="*/ 477378 w 501198"/>
            <a:gd name="connsiteY2" fmla="*/ 274267 h 734785"/>
            <a:gd name="connsiteX3" fmla="*/ 495300 w 501198"/>
            <a:gd name="connsiteY3" fmla="*/ 734785 h 734785"/>
            <a:gd name="connsiteX0" fmla="*/ 0 w 523483"/>
            <a:gd name="connsiteY0" fmla="*/ 0 h 720846"/>
            <a:gd name="connsiteX1" fmla="*/ 268426 w 523483"/>
            <a:gd name="connsiteY1" fmla="*/ 56022 h 720846"/>
            <a:gd name="connsiteX2" fmla="*/ 477378 w 523483"/>
            <a:gd name="connsiteY2" fmla="*/ 274267 h 720846"/>
            <a:gd name="connsiteX3" fmla="*/ 523178 w 523483"/>
            <a:gd name="connsiteY3" fmla="*/ 720846 h 720846"/>
            <a:gd name="connsiteX0" fmla="*/ 0 w 523483"/>
            <a:gd name="connsiteY0" fmla="*/ 0 h 720846"/>
            <a:gd name="connsiteX1" fmla="*/ 268426 w 523483"/>
            <a:gd name="connsiteY1" fmla="*/ 74608 h 720846"/>
            <a:gd name="connsiteX2" fmla="*/ 477378 w 523483"/>
            <a:gd name="connsiteY2" fmla="*/ 274267 h 720846"/>
            <a:gd name="connsiteX3" fmla="*/ 523178 w 523483"/>
            <a:gd name="connsiteY3" fmla="*/ 720846 h 720846"/>
            <a:gd name="connsiteX0" fmla="*/ 0 w 523483"/>
            <a:gd name="connsiteY0" fmla="*/ 0 h 720846"/>
            <a:gd name="connsiteX1" fmla="*/ 268426 w 523483"/>
            <a:gd name="connsiteY1" fmla="*/ 74608 h 720846"/>
            <a:gd name="connsiteX2" fmla="*/ 477378 w 523483"/>
            <a:gd name="connsiteY2" fmla="*/ 274267 h 720846"/>
            <a:gd name="connsiteX3" fmla="*/ 523178 w 523483"/>
            <a:gd name="connsiteY3" fmla="*/ 720846 h 720846"/>
            <a:gd name="connsiteX0" fmla="*/ 0 w 569947"/>
            <a:gd name="connsiteY0" fmla="*/ 0 h 744078"/>
            <a:gd name="connsiteX1" fmla="*/ 314890 w 569947"/>
            <a:gd name="connsiteY1" fmla="*/ 97840 h 744078"/>
            <a:gd name="connsiteX2" fmla="*/ 523842 w 569947"/>
            <a:gd name="connsiteY2" fmla="*/ 297499 h 744078"/>
            <a:gd name="connsiteX3" fmla="*/ 569642 w 569947"/>
            <a:gd name="connsiteY3" fmla="*/ 744078 h 7440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69947" h="744078">
              <a:moveTo>
                <a:pt x="0" y="0"/>
              </a:moveTo>
              <a:cubicBezTo>
                <a:pt x="176517" y="41938"/>
                <a:pt x="227583" y="48257"/>
                <a:pt x="314890" y="97840"/>
              </a:cubicBezTo>
              <a:cubicBezTo>
                <a:pt x="402197" y="147423"/>
                <a:pt x="481383" y="189793"/>
                <a:pt x="523842" y="297499"/>
              </a:cubicBezTo>
              <a:cubicBezTo>
                <a:pt x="566301" y="405205"/>
                <a:pt x="571456" y="544053"/>
                <a:pt x="569642" y="744078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235171</xdr:colOff>
      <xdr:row>6</xdr:row>
      <xdr:rowOff>876513</xdr:rowOff>
    </xdr:from>
    <xdr:to>
      <xdr:col>3</xdr:col>
      <xdr:colOff>1136295</xdr:colOff>
      <xdr:row>6</xdr:row>
      <xdr:rowOff>1330059</xdr:rowOff>
    </xdr:to>
    <xdr:sp macro="" textlink="">
      <xdr:nvSpPr>
        <xdr:cNvPr id="251" name="Полилиния 250"/>
        <xdr:cNvSpPr/>
      </xdr:nvSpPr>
      <xdr:spPr>
        <a:xfrm rot="4588809">
          <a:off x="2005372" y="6121195"/>
          <a:ext cx="453546" cy="901124"/>
        </a:xfrm>
        <a:custGeom>
          <a:avLst/>
          <a:gdLst>
            <a:gd name="connsiteX0" fmla="*/ 2057 w 426599"/>
            <a:gd name="connsiteY0" fmla="*/ 887185 h 887185"/>
            <a:gd name="connsiteX1" fmla="*/ 12942 w 426599"/>
            <a:gd name="connsiteY1" fmla="*/ 533400 h 887185"/>
            <a:gd name="connsiteX2" fmla="*/ 100028 w 426599"/>
            <a:gd name="connsiteY2" fmla="*/ 370114 h 887185"/>
            <a:gd name="connsiteX3" fmla="*/ 197999 w 426599"/>
            <a:gd name="connsiteY3" fmla="*/ 261257 h 887185"/>
            <a:gd name="connsiteX4" fmla="*/ 241542 w 426599"/>
            <a:gd name="connsiteY4" fmla="*/ 97971 h 887185"/>
            <a:gd name="connsiteX5" fmla="*/ 350399 w 426599"/>
            <a:gd name="connsiteY5" fmla="*/ 21771 h 887185"/>
            <a:gd name="connsiteX6" fmla="*/ 426599 w 426599"/>
            <a:gd name="connsiteY6" fmla="*/ 0 h 887185"/>
            <a:gd name="connsiteX0" fmla="*/ 2057 w 426599"/>
            <a:gd name="connsiteY0" fmla="*/ 887185 h 887185"/>
            <a:gd name="connsiteX1" fmla="*/ 12942 w 426599"/>
            <a:gd name="connsiteY1" fmla="*/ 533400 h 887185"/>
            <a:gd name="connsiteX2" fmla="*/ 100028 w 426599"/>
            <a:gd name="connsiteY2" fmla="*/ 370114 h 887185"/>
            <a:gd name="connsiteX3" fmla="*/ 193353 w 426599"/>
            <a:gd name="connsiteY3" fmla="*/ 242671 h 887185"/>
            <a:gd name="connsiteX4" fmla="*/ 241542 w 426599"/>
            <a:gd name="connsiteY4" fmla="*/ 97971 h 887185"/>
            <a:gd name="connsiteX5" fmla="*/ 350399 w 426599"/>
            <a:gd name="connsiteY5" fmla="*/ 21771 h 887185"/>
            <a:gd name="connsiteX6" fmla="*/ 426599 w 426599"/>
            <a:gd name="connsiteY6" fmla="*/ 0 h 887185"/>
            <a:gd name="connsiteX0" fmla="*/ 2057 w 449831"/>
            <a:gd name="connsiteY0" fmla="*/ 887185 h 887185"/>
            <a:gd name="connsiteX1" fmla="*/ 12942 w 449831"/>
            <a:gd name="connsiteY1" fmla="*/ 533400 h 887185"/>
            <a:gd name="connsiteX2" fmla="*/ 100028 w 449831"/>
            <a:gd name="connsiteY2" fmla="*/ 370114 h 887185"/>
            <a:gd name="connsiteX3" fmla="*/ 193353 w 449831"/>
            <a:gd name="connsiteY3" fmla="*/ 242671 h 887185"/>
            <a:gd name="connsiteX4" fmla="*/ 241542 w 449831"/>
            <a:gd name="connsiteY4" fmla="*/ 97971 h 887185"/>
            <a:gd name="connsiteX5" fmla="*/ 350399 w 449831"/>
            <a:gd name="connsiteY5" fmla="*/ 21771 h 887185"/>
            <a:gd name="connsiteX6" fmla="*/ 449831 w 449831"/>
            <a:gd name="connsiteY6" fmla="*/ 0 h 887185"/>
            <a:gd name="connsiteX0" fmla="*/ 1126 w 453546"/>
            <a:gd name="connsiteY0" fmla="*/ 901124 h 901124"/>
            <a:gd name="connsiteX1" fmla="*/ 16657 w 453546"/>
            <a:gd name="connsiteY1" fmla="*/ 533400 h 901124"/>
            <a:gd name="connsiteX2" fmla="*/ 103743 w 453546"/>
            <a:gd name="connsiteY2" fmla="*/ 370114 h 901124"/>
            <a:gd name="connsiteX3" fmla="*/ 197068 w 453546"/>
            <a:gd name="connsiteY3" fmla="*/ 242671 h 901124"/>
            <a:gd name="connsiteX4" fmla="*/ 245257 w 453546"/>
            <a:gd name="connsiteY4" fmla="*/ 97971 h 901124"/>
            <a:gd name="connsiteX5" fmla="*/ 354114 w 453546"/>
            <a:gd name="connsiteY5" fmla="*/ 21771 h 901124"/>
            <a:gd name="connsiteX6" fmla="*/ 453546 w 453546"/>
            <a:gd name="connsiteY6" fmla="*/ 0 h 90112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453546" h="901124">
              <a:moveTo>
                <a:pt x="1126" y="901124"/>
              </a:moveTo>
              <a:cubicBezTo>
                <a:pt x="-1596" y="767320"/>
                <a:pt x="-446" y="621902"/>
                <a:pt x="16657" y="533400"/>
              </a:cubicBezTo>
              <a:cubicBezTo>
                <a:pt x="33760" y="444898"/>
                <a:pt x="73675" y="418569"/>
                <a:pt x="103743" y="370114"/>
              </a:cubicBezTo>
              <a:cubicBezTo>
                <a:pt x="133811" y="321659"/>
                <a:pt x="173482" y="288028"/>
                <a:pt x="197068" y="242671"/>
              </a:cubicBezTo>
              <a:cubicBezTo>
                <a:pt x="220654" y="197314"/>
                <a:pt x="219083" y="134788"/>
                <a:pt x="245257" y="97971"/>
              </a:cubicBezTo>
              <a:cubicBezTo>
                <a:pt x="271431" y="61154"/>
                <a:pt x="319399" y="38100"/>
                <a:pt x="354114" y="21771"/>
              </a:cubicBezTo>
              <a:cubicBezTo>
                <a:pt x="388829" y="5443"/>
                <a:pt x="430867" y="2721"/>
                <a:pt x="453546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1025656</xdr:colOff>
      <xdr:row>6</xdr:row>
      <xdr:rowOff>881759</xdr:rowOff>
    </xdr:from>
    <xdr:to>
      <xdr:col>3</xdr:col>
      <xdr:colOff>1533302</xdr:colOff>
      <xdr:row>6</xdr:row>
      <xdr:rowOff>941657</xdr:rowOff>
    </xdr:to>
    <xdr:sp macro="" textlink="">
      <xdr:nvSpPr>
        <xdr:cNvPr id="252" name="Полилиния 251"/>
        <xdr:cNvSpPr/>
      </xdr:nvSpPr>
      <xdr:spPr>
        <a:xfrm rot="4588809">
          <a:off x="2795942" y="6126356"/>
          <a:ext cx="59898" cy="507646"/>
        </a:xfrm>
        <a:custGeom>
          <a:avLst/>
          <a:gdLst>
            <a:gd name="connsiteX0" fmla="*/ 59962 w 59962"/>
            <a:gd name="connsiteY0" fmla="*/ 0 h 484414"/>
            <a:gd name="connsiteX1" fmla="*/ 91 w 59962"/>
            <a:gd name="connsiteY1" fmla="*/ 321128 h 484414"/>
            <a:gd name="connsiteX2" fmla="*/ 49076 w 59962"/>
            <a:gd name="connsiteY2" fmla="*/ 484414 h 484414"/>
            <a:gd name="connsiteX0" fmla="*/ 59898 w 59898"/>
            <a:gd name="connsiteY0" fmla="*/ 0 h 507646"/>
            <a:gd name="connsiteX1" fmla="*/ 27 w 59898"/>
            <a:gd name="connsiteY1" fmla="*/ 321128 h 507646"/>
            <a:gd name="connsiteX2" fmla="*/ 53658 w 59898"/>
            <a:gd name="connsiteY2" fmla="*/ 507646 h 5076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59898" h="507646">
              <a:moveTo>
                <a:pt x="59898" y="0"/>
              </a:moveTo>
              <a:cubicBezTo>
                <a:pt x="30869" y="120196"/>
                <a:pt x="1067" y="236520"/>
                <a:pt x="27" y="321128"/>
              </a:cubicBezTo>
              <a:cubicBezTo>
                <a:pt x="-1013" y="405736"/>
                <a:pt x="28258" y="466371"/>
                <a:pt x="53658" y="507646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999434</xdr:colOff>
      <xdr:row>6</xdr:row>
      <xdr:rowOff>361567</xdr:rowOff>
    </xdr:from>
    <xdr:to>
      <xdr:col>3</xdr:col>
      <xdr:colOff>1179049</xdr:colOff>
      <xdr:row>6</xdr:row>
      <xdr:rowOff>492195</xdr:rowOff>
    </xdr:to>
    <xdr:sp macro="" textlink="">
      <xdr:nvSpPr>
        <xdr:cNvPr id="253" name="Полилиния 252"/>
        <xdr:cNvSpPr/>
      </xdr:nvSpPr>
      <xdr:spPr>
        <a:xfrm rot="4588809">
          <a:off x="2570340" y="5805544"/>
          <a:ext cx="130628" cy="179615"/>
        </a:xfrm>
        <a:custGeom>
          <a:avLst/>
          <a:gdLst>
            <a:gd name="connsiteX0" fmla="*/ 0 w 130628"/>
            <a:gd name="connsiteY0" fmla="*/ 0 h 179615"/>
            <a:gd name="connsiteX1" fmla="*/ 97971 w 130628"/>
            <a:gd name="connsiteY1" fmla="*/ 54429 h 179615"/>
            <a:gd name="connsiteX2" fmla="*/ 130628 w 130628"/>
            <a:gd name="connsiteY2" fmla="*/ 179615 h 1796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0628" h="179615">
              <a:moveTo>
                <a:pt x="0" y="0"/>
              </a:moveTo>
              <a:cubicBezTo>
                <a:pt x="38100" y="12246"/>
                <a:pt x="76200" y="24493"/>
                <a:pt x="97971" y="54429"/>
              </a:cubicBezTo>
              <a:cubicBezTo>
                <a:pt x="119742" y="84365"/>
                <a:pt x="125185" y="131990"/>
                <a:pt x="130628" y="179615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1155153</xdr:colOff>
      <xdr:row>6</xdr:row>
      <xdr:rowOff>1388313</xdr:rowOff>
    </xdr:from>
    <xdr:to>
      <xdr:col>3</xdr:col>
      <xdr:colOff>1227153</xdr:colOff>
      <xdr:row>6</xdr:row>
      <xdr:rowOff>1463626</xdr:rowOff>
    </xdr:to>
    <xdr:sp macro="" textlink="">
      <xdr:nvSpPr>
        <xdr:cNvPr id="254" name="Овал 253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 rot="4588809">
          <a:off x="2699908" y="6858441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820734</xdr:colOff>
      <xdr:row>6</xdr:row>
      <xdr:rowOff>971436</xdr:rowOff>
    </xdr:from>
    <xdr:to>
      <xdr:col>3</xdr:col>
      <xdr:colOff>906130</xdr:colOff>
      <xdr:row>6</xdr:row>
      <xdr:rowOff>1056832</xdr:rowOff>
    </xdr:to>
    <xdr:sp macro="" textlink="">
      <xdr:nvSpPr>
        <xdr:cNvPr id="255" name="Прямоугольник 254"/>
        <xdr:cNvSpPr/>
      </xdr:nvSpPr>
      <xdr:spPr>
        <a:xfrm rot="2400000">
          <a:off x="2367146" y="6439907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3</xdr:col>
      <xdr:colOff>650417</xdr:colOff>
      <xdr:row>7</xdr:row>
      <xdr:rowOff>534953</xdr:rowOff>
    </xdr:from>
    <xdr:to>
      <xdr:col>3</xdr:col>
      <xdr:colOff>1170716</xdr:colOff>
      <xdr:row>7</xdr:row>
      <xdr:rowOff>1055252</xdr:rowOff>
    </xdr:to>
    <xdr:sp macro="" textlink="">
      <xdr:nvSpPr>
        <xdr:cNvPr id="256" name="Овал 255"/>
        <xdr:cNvSpPr/>
      </xdr:nvSpPr>
      <xdr:spPr>
        <a:xfrm rot="4588809">
          <a:off x="2196829" y="7527424"/>
          <a:ext cx="520299" cy="520299"/>
        </a:xfrm>
        <a:prstGeom prst="ellipse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1361191</xdr:colOff>
      <xdr:row>7</xdr:row>
      <xdr:rowOff>1396363</xdr:rowOff>
    </xdr:from>
    <xdr:to>
      <xdr:col>3</xdr:col>
      <xdr:colOff>1433191</xdr:colOff>
      <xdr:row>7</xdr:row>
      <xdr:rowOff>1471676</xdr:rowOff>
    </xdr:to>
    <xdr:sp macro="" textlink="">
      <xdr:nvSpPr>
        <xdr:cNvPr id="262" name="Овал 261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 rot="4588809">
          <a:off x="2902584" y="837032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160419</xdr:colOff>
      <xdr:row>7</xdr:row>
      <xdr:rowOff>556461</xdr:rowOff>
    </xdr:from>
    <xdr:to>
      <xdr:col>3</xdr:col>
      <xdr:colOff>767011</xdr:colOff>
      <xdr:row>7</xdr:row>
      <xdr:rowOff>1453816</xdr:rowOff>
    </xdr:to>
    <xdr:sp macro="" textlink="">
      <xdr:nvSpPr>
        <xdr:cNvPr id="110" name="Полилиния 109"/>
        <xdr:cNvSpPr/>
      </xdr:nvSpPr>
      <xdr:spPr>
        <a:xfrm>
          <a:off x="1704472" y="7534777"/>
          <a:ext cx="606592" cy="897355"/>
        </a:xfrm>
        <a:custGeom>
          <a:avLst/>
          <a:gdLst>
            <a:gd name="connsiteX0" fmla="*/ 0 w 606592"/>
            <a:gd name="connsiteY0" fmla="*/ 0 h 897355"/>
            <a:gd name="connsiteX1" fmla="*/ 406066 w 606592"/>
            <a:gd name="connsiteY1" fmla="*/ 225592 h 897355"/>
            <a:gd name="connsiteX2" fmla="*/ 571500 w 606592"/>
            <a:gd name="connsiteY2" fmla="*/ 486276 h 897355"/>
            <a:gd name="connsiteX3" fmla="*/ 606592 w 606592"/>
            <a:gd name="connsiteY3" fmla="*/ 897355 h 8973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06592" h="897355">
              <a:moveTo>
                <a:pt x="0" y="0"/>
              </a:moveTo>
              <a:cubicBezTo>
                <a:pt x="155408" y="72273"/>
                <a:pt x="310816" y="144546"/>
                <a:pt x="406066" y="225592"/>
              </a:cubicBezTo>
              <a:cubicBezTo>
                <a:pt x="501316" y="306638"/>
                <a:pt x="538079" y="374316"/>
                <a:pt x="571500" y="486276"/>
              </a:cubicBezTo>
              <a:cubicBezTo>
                <a:pt x="604921" y="598236"/>
                <a:pt x="605756" y="747795"/>
                <a:pt x="606592" y="897355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832184</xdr:colOff>
      <xdr:row>7</xdr:row>
      <xdr:rowOff>800715</xdr:rowOff>
    </xdr:from>
    <xdr:to>
      <xdr:col>3</xdr:col>
      <xdr:colOff>1478881</xdr:colOff>
      <xdr:row>7</xdr:row>
      <xdr:rowOff>1408697</xdr:rowOff>
    </xdr:to>
    <xdr:sp macro="" textlink="">
      <xdr:nvSpPr>
        <xdr:cNvPr id="111" name="Полилиния 110"/>
        <xdr:cNvSpPr/>
      </xdr:nvSpPr>
      <xdr:spPr>
        <a:xfrm>
          <a:off x="2376237" y="7779031"/>
          <a:ext cx="646697" cy="607982"/>
        </a:xfrm>
        <a:custGeom>
          <a:avLst/>
          <a:gdLst>
            <a:gd name="connsiteX0" fmla="*/ 0 w 646697"/>
            <a:gd name="connsiteY0" fmla="*/ 607982 h 607982"/>
            <a:gd name="connsiteX1" fmla="*/ 100263 w 646697"/>
            <a:gd name="connsiteY1" fmla="*/ 347298 h 607982"/>
            <a:gd name="connsiteX2" fmla="*/ 260684 w 646697"/>
            <a:gd name="connsiteY2" fmla="*/ 181864 h 607982"/>
            <a:gd name="connsiteX3" fmla="*/ 521368 w 646697"/>
            <a:gd name="connsiteY3" fmla="*/ 26456 h 607982"/>
            <a:gd name="connsiteX4" fmla="*/ 646697 w 646697"/>
            <a:gd name="connsiteY4" fmla="*/ 1390 h 6079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46697" h="607982">
              <a:moveTo>
                <a:pt x="0" y="607982"/>
              </a:moveTo>
              <a:cubicBezTo>
                <a:pt x="28408" y="513150"/>
                <a:pt x="56816" y="418318"/>
                <a:pt x="100263" y="347298"/>
              </a:cubicBezTo>
              <a:cubicBezTo>
                <a:pt x="143710" y="276278"/>
                <a:pt x="190500" y="235338"/>
                <a:pt x="260684" y="181864"/>
              </a:cubicBezTo>
              <a:cubicBezTo>
                <a:pt x="330868" y="128390"/>
                <a:pt x="457033" y="56535"/>
                <a:pt x="521368" y="26456"/>
              </a:cubicBezTo>
              <a:cubicBezTo>
                <a:pt x="585704" y="-3623"/>
                <a:pt x="616200" y="-1117"/>
                <a:pt x="646697" y="139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867276</xdr:colOff>
      <xdr:row>7</xdr:row>
      <xdr:rowOff>1057776</xdr:rowOff>
    </xdr:from>
    <xdr:to>
      <xdr:col>3</xdr:col>
      <xdr:colOff>1398671</xdr:colOff>
      <xdr:row>7</xdr:row>
      <xdr:rowOff>1443789</xdr:rowOff>
    </xdr:to>
    <xdr:sp macro="" textlink="">
      <xdr:nvSpPr>
        <xdr:cNvPr id="112" name="Полилиния 111"/>
        <xdr:cNvSpPr/>
      </xdr:nvSpPr>
      <xdr:spPr>
        <a:xfrm>
          <a:off x="2411329" y="8036092"/>
          <a:ext cx="531395" cy="386013"/>
        </a:xfrm>
        <a:custGeom>
          <a:avLst/>
          <a:gdLst>
            <a:gd name="connsiteX0" fmla="*/ 0 w 531395"/>
            <a:gd name="connsiteY0" fmla="*/ 0 h 386013"/>
            <a:gd name="connsiteX1" fmla="*/ 280737 w 531395"/>
            <a:gd name="connsiteY1" fmla="*/ 90237 h 386013"/>
            <a:gd name="connsiteX2" fmla="*/ 481263 w 531395"/>
            <a:gd name="connsiteY2" fmla="*/ 245645 h 386013"/>
            <a:gd name="connsiteX3" fmla="*/ 531395 w 531395"/>
            <a:gd name="connsiteY3" fmla="*/ 386013 h 38601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31395" h="386013">
              <a:moveTo>
                <a:pt x="0" y="0"/>
              </a:moveTo>
              <a:cubicBezTo>
                <a:pt x="100263" y="24648"/>
                <a:pt x="200526" y="49296"/>
                <a:pt x="280737" y="90237"/>
              </a:cubicBezTo>
              <a:cubicBezTo>
                <a:pt x="360948" y="131178"/>
                <a:pt x="439487" y="196349"/>
                <a:pt x="481263" y="245645"/>
              </a:cubicBezTo>
              <a:cubicBezTo>
                <a:pt x="523039" y="294941"/>
                <a:pt x="527217" y="340477"/>
                <a:pt x="531395" y="386013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896197</xdr:colOff>
      <xdr:row>7</xdr:row>
      <xdr:rowOff>50517</xdr:rowOff>
    </xdr:from>
    <xdr:to>
      <xdr:col>3</xdr:col>
      <xdr:colOff>1371291</xdr:colOff>
      <xdr:row>7</xdr:row>
      <xdr:rowOff>1336199</xdr:rowOff>
    </xdr:to>
    <xdr:sp macro="" textlink="">
      <xdr:nvSpPr>
        <xdr:cNvPr id="121" name="Полилиния 120"/>
        <xdr:cNvSpPr/>
      </xdr:nvSpPr>
      <xdr:spPr>
        <a:xfrm>
          <a:off x="2434851" y="7025748"/>
          <a:ext cx="475094" cy="1285682"/>
        </a:xfrm>
        <a:custGeom>
          <a:avLst/>
          <a:gdLst>
            <a:gd name="connsiteX0" fmla="*/ 0 w 526382"/>
            <a:gd name="connsiteY0" fmla="*/ 0 h 1278355"/>
            <a:gd name="connsiteX1" fmla="*/ 165435 w 526382"/>
            <a:gd name="connsiteY1" fmla="*/ 426118 h 1278355"/>
            <a:gd name="connsiteX2" fmla="*/ 315829 w 526382"/>
            <a:gd name="connsiteY2" fmla="*/ 626645 h 1278355"/>
            <a:gd name="connsiteX3" fmla="*/ 416093 w 526382"/>
            <a:gd name="connsiteY3" fmla="*/ 957513 h 1278355"/>
            <a:gd name="connsiteX4" fmla="*/ 526382 w 526382"/>
            <a:gd name="connsiteY4" fmla="*/ 1278355 h 1278355"/>
            <a:gd name="connsiteX0" fmla="*/ 0 w 475094"/>
            <a:gd name="connsiteY0" fmla="*/ 0 h 1285682"/>
            <a:gd name="connsiteX1" fmla="*/ 114147 w 475094"/>
            <a:gd name="connsiteY1" fmla="*/ 433445 h 1285682"/>
            <a:gd name="connsiteX2" fmla="*/ 264541 w 475094"/>
            <a:gd name="connsiteY2" fmla="*/ 633972 h 1285682"/>
            <a:gd name="connsiteX3" fmla="*/ 364805 w 475094"/>
            <a:gd name="connsiteY3" fmla="*/ 964840 h 1285682"/>
            <a:gd name="connsiteX4" fmla="*/ 475094 w 475094"/>
            <a:gd name="connsiteY4" fmla="*/ 1285682 h 1285682"/>
            <a:gd name="connsiteX0" fmla="*/ 0 w 475094"/>
            <a:gd name="connsiteY0" fmla="*/ 0 h 1285682"/>
            <a:gd name="connsiteX1" fmla="*/ 114147 w 475094"/>
            <a:gd name="connsiteY1" fmla="*/ 433445 h 1285682"/>
            <a:gd name="connsiteX2" fmla="*/ 264541 w 475094"/>
            <a:gd name="connsiteY2" fmla="*/ 633972 h 1285682"/>
            <a:gd name="connsiteX3" fmla="*/ 364805 w 475094"/>
            <a:gd name="connsiteY3" fmla="*/ 964840 h 1285682"/>
            <a:gd name="connsiteX4" fmla="*/ 475094 w 475094"/>
            <a:gd name="connsiteY4" fmla="*/ 1285682 h 12856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75094" h="1285682">
              <a:moveTo>
                <a:pt x="0" y="0"/>
              </a:moveTo>
              <a:cubicBezTo>
                <a:pt x="12436" y="278069"/>
                <a:pt x="70057" y="327783"/>
                <a:pt x="114147" y="433445"/>
              </a:cubicBezTo>
              <a:cubicBezTo>
                <a:pt x="158237" y="539107"/>
                <a:pt x="222765" y="545406"/>
                <a:pt x="264541" y="633972"/>
              </a:cubicBezTo>
              <a:cubicBezTo>
                <a:pt x="306317" y="722538"/>
                <a:pt x="329713" y="856222"/>
                <a:pt x="364805" y="964840"/>
              </a:cubicBezTo>
              <a:cubicBezTo>
                <a:pt x="399897" y="1073458"/>
                <a:pt x="437495" y="1179570"/>
                <a:pt x="475094" y="1285682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1107908</xdr:colOff>
      <xdr:row>7</xdr:row>
      <xdr:rowOff>631658</xdr:rowOff>
    </xdr:from>
    <xdr:to>
      <xdr:col>3</xdr:col>
      <xdr:colOff>1473868</xdr:colOff>
      <xdr:row>7</xdr:row>
      <xdr:rowOff>792079</xdr:rowOff>
    </xdr:to>
    <xdr:sp macro="" textlink="">
      <xdr:nvSpPr>
        <xdr:cNvPr id="123" name="Полилиния 122"/>
        <xdr:cNvSpPr/>
      </xdr:nvSpPr>
      <xdr:spPr>
        <a:xfrm>
          <a:off x="2651961" y="7609974"/>
          <a:ext cx="365960" cy="160421"/>
        </a:xfrm>
        <a:custGeom>
          <a:avLst/>
          <a:gdLst>
            <a:gd name="connsiteX0" fmla="*/ 365960 w 365960"/>
            <a:gd name="connsiteY0" fmla="*/ 160421 h 160421"/>
            <a:gd name="connsiteX1" fmla="*/ 140368 w 365960"/>
            <a:gd name="connsiteY1" fmla="*/ 100263 h 160421"/>
            <a:gd name="connsiteX2" fmla="*/ 0 w 365960"/>
            <a:gd name="connsiteY2" fmla="*/ 0 h 1604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365960" h="160421">
              <a:moveTo>
                <a:pt x="365960" y="160421"/>
              </a:moveTo>
              <a:cubicBezTo>
                <a:pt x="283660" y="143710"/>
                <a:pt x="201361" y="127000"/>
                <a:pt x="140368" y="100263"/>
              </a:cubicBezTo>
              <a:cubicBezTo>
                <a:pt x="79375" y="73526"/>
                <a:pt x="39687" y="36763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436144</xdr:colOff>
      <xdr:row>7</xdr:row>
      <xdr:rowOff>646697</xdr:rowOff>
    </xdr:from>
    <xdr:to>
      <xdr:col>3</xdr:col>
      <xdr:colOff>686802</xdr:colOff>
      <xdr:row>7</xdr:row>
      <xdr:rowOff>728450</xdr:rowOff>
    </xdr:to>
    <xdr:sp macro="" textlink="">
      <xdr:nvSpPr>
        <xdr:cNvPr id="264" name="Полилиния 263"/>
        <xdr:cNvSpPr/>
      </xdr:nvSpPr>
      <xdr:spPr>
        <a:xfrm>
          <a:off x="1980197" y="7625013"/>
          <a:ext cx="250658" cy="81753"/>
        </a:xfrm>
        <a:custGeom>
          <a:avLst/>
          <a:gdLst>
            <a:gd name="connsiteX0" fmla="*/ 250658 w 250658"/>
            <a:gd name="connsiteY0" fmla="*/ 0 h 81753"/>
            <a:gd name="connsiteX1" fmla="*/ 185487 w 250658"/>
            <a:gd name="connsiteY1" fmla="*/ 80211 h 81753"/>
            <a:gd name="connsiteX2" fmla="*/ 0 w 250658"/>
            <a:gd name="connsiteY2" fmla="*/ 45119 h 817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0658" h="81753">
              <a:moveTo>
                <a:pt x="250658" y="0"/>
              </a:moveTo>
              <a:cubicBezTo>
                <a:pt x="238960" y="36345"/>
                <a:pt x="227263" y="72691"/>
                <a:pt x="185487" y="80211"/>
              </a:cubicBezTo>
              <a:cubicBezTo>
                <a:pt x="143711" y="87731"/>
                <a:pt x="71855" y="66425"/>
                <a:pt x="0" y="45119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798369</xdr:colOff>
      <xdr:row>7</xdr:row>
      <xdr:rowOff>1006209</xdr:rowOff>
    </xdr:from>
    <xdr:to>
      <xdr:col>3</xdr:col>
      <xdr:colOff>883765</xdr:colOff>
      <xdr:row>7</xdr:row>
      <xdr:rowOff>1091605</xdr:rowOff>
    </xdr:to>
    <xdr:sp macro="" textlink="">
      <xdr:nvSpPr>
        <xdr:cNvPr id="263" name="Прямоугольник 262"/>
        <xdr:cNvSpPr/>
      </xdr:nvSpPr>
      <xdr:spPr>
        <a:xfrm rot="2400000">
          <a:off x="2337023" y="7981440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3</xdr:col>
      <xdr:colOff>659423</xdr:colOff>
      <xdr:row>7</xdr:row>
      <xdr:rowOff>161192</xdr:rowOff>
    </xdr:from>
    <xdr:to>
      <xdr:col>3</xdr:col>
      <xdr:colOff>904582</xdr:colOff>
      <xdr:row>7</xdr:row>
      <xdr:rowOff>688730</xdr:rowOff>
    </xdr:to>
    <xdr:sp macro="" textlink="">
      <xdr:nvSpPr>
        <xdr:cNvPr id="265" name="Полилиния 264"/>
        <xdr:cNvSpPr/>
      </xdr:nvSpPr>
      <xdr:spPr>
        <a:xfrm>
          <a:off x="2198077" y="7136423"/>
          <a:ext cx="245159" cy="527538"/>
        </a:xfrm>
        <a:custGeom>
          <a:avLst/>
          <a:gdLst>
            <a:gd name="connsiteX0" fmla="*/ 0 w 245159"/>
            <a:gd name="connsiteY0" fmla="*/ 527538 h 527538"/>
            <a:gd name="connsiteX1" fmla="*/ 102577 w 245159"/>
            <a:gd name="connsiteY1" fmla="*/ 395654 h 527538"/>
            <a:gd name="connsiteX2" fmla="*/ 227134 w 245159"/>
            <a:gd name="connsiteY2" fmla="*/ 183173 h 527538"/>
            <a:gd name="connsiteX3" fmla="*/ 241788 w 245159"/>
            <a:gd name="connsiteY3" fmla="*/ 0 h 5275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45159" h="527538">
              <a:moveTo>
                <a:pt x="0" y="527538"/>
              </a:moveTo>
              <a:cubicBezTo>
                <a:pt x="32360" y="490293"/>
                <a:pt x="64721" y="453048"/>
                <a:pt x="102577" y="395654"/>
              </a:cubicBezTo>
              <a:cubicBezTo>
                <a:pt x="140433" y="338260"/>
                <a:pt x="203932" y="249115"/>
                <a:pt x="227134" y="183173"/>
              </a:cubicBezTo>
              <a:cubicBezTo>
                <a:pt x="250336" y="117231"/>
                <a:pt x="246062" y="58615"/>
                <a:pt x="241788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548575</xdr:colOff>
      <xdr:row>4</xdr:row>
      <xdr:rowOff>644604</xdr:rowOff>
    </xdr:from>
    <xdr:to>
      <xdr:col>3</xdr:col>
      <xdr:colOff>1171114</xdr:colOff>
      <xdr:row>4</xdr:row>
      <xdr:rowOff>1254257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229" y="1523835"/>
          <a:ext cx="622539" cy="609653"/>
        </a:xfrm>
        <a:prstGeom prst="rect">
          <a:avLst/>
        </a:prstGeom>
      </xdr:spPr>
    </xdr:pic>
    <xdr:clientData/>
  </xdr:twoCellAnchor>
  <xdr:twoCellAnchor editAs="oneCell">
    <xdr:from>
      <xdr:col>3</xdr:col>
      <xdr:colOff>1544934</xdr:colOff>
      <xdr:row>4</xdr:row>
      <xdr:rowOff>637680</xdr:rowOff>
    </xdr:from>
    <xdr:to>
      <xdr:col>4</xdr:col>
      <xdr:colOff>589605</xdr:colOff>
      <xdr:row>4</xdr:row>
      <xdr:rowOff>1247333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588" y="1516911"/>
          <a:ext cx="627286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5</xdr:col>
      <xdr:colOff>532087</xdr:colOff>
      <xdr:row>4</xdr:row>
      <xdr:rowOff>1090449</xdr:rowOff>
    </xdr:from>
    <xdr:to>
      <xdr:col>5</xdr:col>
      <xdr:colOff>794845</xdr:colOff>
      <xdr:row>4</xdr:row>
      <xdr:rowOff>1543707</xdr:rowOff>
    </xdr:to>
    <xdr:sp macro="" textlink="">
      <xdr:nvSpPr>
        <xdr:cNvPr id="2" name="Полилиния 1"/>
        <xdr:cNvSpPr/>
      </xdr:nvSpPr>
      <xdr:spPr>
        <a:xfrm>
          <a:off x="5039389" y="1967468"/>
          <a:ext cx="262758" cy="453258"/>
        </a:xfrm>
        <a:custGeom>
          <a:avLst/>
          <a:gdLst>
            <a:gd name="connsiteX0" fmla="*/ 295603 w 295603"/>
            <a:gd name="connsiteY0" fmla="*/ 289034 h 289034"/>
            <a:gd name="connsiteX1" fmla="*/ 0 w 295603"/>
            <a:gd name="connsiteY1" fmla="*/ 243052 h 289034"/>
            <a:gd name="connsiteX2" fmla="*/ 0 w 295603"/>
            <a:gd name="connsiteY2" fmla="*/ 0 h 289034"/>
            <a:gd name="connsiteX3" fmla="*/ 269327 w 295603"/>
            <a:gd name="connsiteY3" fmla="*/ 91965 h 289034"/>
            <a:gd name="connsiteX0" fmla="*/ 262758 w 269327"/>
            <a:gd name="connsiteY0" fmla="*/ 289034 h 289034"/>
            <a:gd name="connsiteX1" fmla="*/ 0 w 269327"/>
            <a:gd name="connsiteY1" fmla="*/ 243052 h 289034"/>
            <a:gd name="connsiteX2" fmla="*/ 0 w 269327"/>
            <a:gd name="connsiteY2" fmla="*/ 0 h 289034"/>
            <a:gd name="connsiteX3" fmla="*/ 269327 w 269327"/>
            <a:gd name="connsiteY3" fmla="*/ 91965 h 289034"/>
            <a:gd name="connsiteX0" fmla="*/ 262758 w 262758"/>
            <a:gd name="connsiteY0" fmla="*/ 289034 h 289034"/>
            <a:gd name="connsiteX1" fmla="*/ 0 w 262758"/>
            <a:gd name="connsiteY1" fmla="*/ 243052 h 289034"/>
            <a:gd name="connsiteX2" fmla="*/ 0 w 262758"/>
            <a:gd name="connsiteY2" fmla="*/ 0 h 289034"/>
            <a:gd name="connsiteX3" fmla="*/ 243051 w 262758"/>
            <a:gd name="connsiteY3" fmla="*/ 105103 h 289034"/>
            <a:gd name="connsiteX0" fmla="*/ 262758 w 262758"/>
            <a:gd name="connsiteY0" fmla="*/ 453258 h 453258"/>
            <a:gd name="connsiteX1" fmla="*/ 0 w 262758"/>
            <a:gd name="connsiteY1" fmla="*/ 407276 h 453258"/>
            <a:gd name="connsiteX2" fmla="*/ 6569 w 262758"/>
            <a:gd name="connsiteY2" fmla="*/ 0 h 453258"/>
            <a:gd name="connsiteX3" fmla="*/ 243051 w 262758"/>
            <a:gd name="connsiteY3" fmla="*/ 269327 h 453258"/>
            <a:gd name="connsiteX0" fmla="*/ 270566 w 270566"/>
            <a:gd name="connsiteY0" fmla="*/ 453258 h 453258"/>
            <a:gd name="connsiteX1" fmla="*/ 7808 w 270566"/>
            <a:gd name="connsiteY1" fmla="*/ 407276 h 453258"/>
            <a:gd name="connsiteX2" fmla="*/ 0 w 270566"/>
            <a:gd name="connsiteY2" fmla="*/ 0 h 453258"/>
            <a:gd name="connsiteX3" fmla="*/ 250859 w 270566"/>
            <a:gd name="connsiteY3" fmla="*/ 269327 h 453258"/>
            <a:gd name="connsiteX0" fmla="*/ 262758 w 262758"/>
            <a:gd name="connsiteY0" fmla="*/ 453258 h 453258"/>
            <a:gd name="connsiteX1" fmla="*/ 0 w 262758"/>
            <a:gd name="connsiteY1" fmla="*/ 407276 h 453258"/>
            <a:gd name="connsiteX2" fmla="*/ 2975 w 262758"/>
            <a:gd name="connsiteY2" fmla="*/ 0 h 453258"/>
            <a:gd name="connsiteX3" fmla="*/ 243051 w 262758"/>
            <a:gd name="connsiteY3" fmla="*/ 269327 h 4532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62758" h="453258">
              <a:moveTo>
                <a:pt x="262758" y="453258"/>
              </a:moveTo>
              <a:lnTo>
                <a:pt x="0" y="407276"/>
              </a:lnTo>
              <a:cubicBezTo>
                <a:pt x="992" y="271517"/>
                <a:pt x="1983" y="135759"/>
                <a:pt x="2975" y="0"/>
              </a:cubicBezTo>
              <a:lnTo>
                <a:pt x="243051" y="269327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542745</xdr:colOff>
      <xdr:row>4</xdr:row>
      <xdr:rowOff>82670</xdr:rowOff>
    </xdr:from>
    <xdr:to>
      <xdr:col>5</xdr:col>
      <xdr:colOff>794349</xdr:colOff>
      <xdr:row>4</xdr:row>
      <xdr:rowOff>1121434</xdr:rowOff>
    </xdr:to>
    <xdr:sp macro="" textlink="">
      <xdr:nvSpPr>
        <xdr:cNvPr id="3" name="Полилиния 2"/>
        <xdr:cNvSpPr/>
      </xdr:nvSpPr>
      <xdr:spPr>
        <a:xfrm>
          <a:off x="5050047" y="959689"/>
          <a:ext cx="251604" cy="1038764"/>
        </a:xfrm>
        <a:custGeom>
          <a:avLst/>
          <a:gdLst>
            <a:gd name="connsiteX0" fmla="*/ 251604 w 251604"/>
            <a:gd name="connsiteY0" fmla="*/ 1038764 h 1038764"/>
            <a:gd name="connsiteX1" fmla="*/ 0 w 251604"/>
            <a:gd name="connsiteY1" fmla="*/ 772783 h 1038764"/>
            <a:gd name="connsiteX2" fmla="*/ 0 w 251604"/>
            <a:gd name="connsiteY2" fmla="*/ 0 h 10387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51604" h="1038764">
              <a:moveTo>
                <a:pt x="251604" y="1038764"/>
              </a:moveTo>
              <a:lnTo>
                <a:pt x="0" y="772783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718038</xdr:colOff>
      <xdr:row>4</xdr:row>
      <xdr:rowOff>73269</xdr:rowOff>
    </xdr:from>
    <xdr:to>
      <xdr:col>4</xdr:col>
      <xdr:colOff>1113693</xdr:colOff>
      <xdr:row>4</xdr:row>
      <xdr:rowOff>293077</xdr:rowOff>
    </xdr:to>
    <xdr:sp macro="" textlink="">
      <xdr:nvSpPr>
        <xdr:cNvPr id="5" name="Прямоугольник 4"/>
        <xdr:cNvSpPr/>
      </xdr:nvSpPr>
      <xdr:spPr>
        <a:xfrm>
          <a:off x="2256692" y="952500"/>
          <a:ext cx="1978270" cy="219808"/>
        </a:xfrm>
        <a:prstGeom prst="rect">
          <a:avLst/>
        </a:prstGeom>
        <a:solidFill>
          <a:srgbClr val="FF0000"/>
        </a:solidFill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"МАГНИТ"</a:t>
          </a:r>
        </a:p>
      </xdr:txBody>
    </xdr:sp>
    <xdr:clientData/>
  </xdr:twoCellAnchor>
  <xdr:twoCellAnchor>
    <xdr:from>
      <xdr:col>3</xdr:col>
      <xdr:colOff>874059</xdr:colOff>
      <xdr:row>15</xdr:row>
      <xdr:rowOff>1053353</xdr:rowOff>
    </xdr:from>
    <xdr:to>
      <xdr:col>3</xdr:col>
      <xdr:colOff>946059</xdr:colOff>
      <xdr:row>15</xdr:row>
      <xdr:rowOff>1125353</xdr:rowOff>
    </xdr:to>
    <xdr:sp macro="" textlink="">
      <xdr:nvSpPr>
        <xdr:cNvPr id="257" name="5-конечная звезда 256">
          <a:extLst>
            <a:ext uri="{FF2B5EF4-FFF2-40B4-BE49-F238E27FC236}">
              <a16:creationId xmlns:a16="http://schemas.microsoft.com/office/drawing/2014/main" id="{00000000-0008-0000-0900-000023030000}"/>
            </a:ext>
          </a:extLst>
        </xdr:cNvPr>
        <xdr:cNvSpPr/>
      </xdr:nvSpPr>
      <xdr:spPr>
        <a:xfrm>
          <a:off x="2420471" y="2938182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480252</xdr:colOff>
      <xdr:row>15</xdr:row>
      <xdr:rowOff>172091</xdr:rowOff>
    </xdr:from>
    <xdr:to>
      <xdr:col>5</xdr:col>
      <xdr:colOff>597432</xdr:colOff>
      <xdr:row>15</xdr:row>
      <xdr:rowOff>562616</xdr:rowOff>
    </xdr:to>
    <xdr:sp macro="" textlink="">
      <xdr:nvSpPr>
        <xdr:cNvPr id="258" name="Прямоугольник 257"/>
        <xdr:cNvSpPr/>
      </xdr:nvSpPr>
      <xdr:spPr>
        <a:xfrm>
          <a:off x="3609895" y="28474948"/>
          <a:ext cx="1505108" cy="390525"/>
        </a:xfrm>
        <a:prstGeom prst="rect">
          <a:avLst/>
        </a:prstGeom>
        <a:solidFill>
          <a:srgbClr val="0070C0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600" b="1">
              <a:solidFill>
                <a:schemeClr val="bg1"/>
              </a:solidFill>
            </a:rPr>
            <a:t>???</a:t>
          </a:r>
          <a:endParaRPr lang="ru-RU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581104</xdr:colOff>
      <xdr:row>15</xdr:row>
      <xdr:rowOff>270021</xdr:rowOff>
    </xdr:from>
    <xdr:to>
      <xdr:col>4</xdr:col>
      <xdr:colOff>738947</xdr:colOff>
      <xdr:row>15</xdr:row>
      <xdr:rowOff>456753</xdr:rowOff>
    </xdr:to>
    <xdr:sp macro="" textlink="">
      <xdr:nvSpPr>
        <xdr:cNvPr id="259" name="Стрелка вправо 258"/>
        <xdr:cNvSpPr/>
      </xdr:nvSpPr>
      <xdr:spPr>
        <a:xfrm flipH="1">
          <a:off x="3710747" y="28572878"/>
          <a:ext cx="157843" cy="186732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373933</xdr:colOff>
      <xdr:row>26</xdr:row>
      <xdr:rowOff>996832</xdr:rowOff>
    </xdr:from>
    <xdr:to>
      <xdr:col>3</xdr:col>
      <xdr:colOff>445933</xdr:colOff>
      <xdr:row>26</xdr:row>
      <xdr:rowOff>1068832</xdr:rowOff>
    </xdr:to>
    <xdr:sp macro="" textlink="">
      <xdr:nvSpPr>
        <xdr:cNvPr id="260" name="5-конечная звезда 25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1920345" y="3542130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340894</xdr:colOff>
      <xdr:row>4</xdr:row>
      <xdr:rowOff>70184</xdr:rowOff>
    </xdr:from>
    <xdr:to>
      <xdr:col>5</xdr:col>
      <xdr:colOff>40105</xdr:colOff>
      <xdr:row>4</xdr:row>
      <xdr:rowOff>70184</xdr:rowOff>
    </xdr:to>
    <xdr:cxnSp macro="">
      <xdr:nvCxnSpPr>
        <xdr:cNvPr id="16" name="Прямая соединительная линия 15"/>
        <xdr:cNvCxnSpPr/>
      </xdr:nvCxnSpPr>
      <xdr:spPr>
        <a:xfrm>
          <a:off x="1884947" y="952500"/>
          <a:ext cx="2661987" cy="0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587509</xdr:colOff>
      <xdr:row>16</xdr:row>
      <xdr:rowOff>520514</xdr:rowOff>
    </xdr:from>
    <xdr:to>
      <xdr:col>18</xdr:col>
      <xdr:colOff>274545</xdr:colOff>
      <xdr:row>16</xdr:row>
      <xdr:rowOff>520514</xdr:rowOff>
    </xdr:to>
    <xdr:cxnSp macro="">
      <xdr:nvCxnSpPr>
        <xdr:cNvPr id="261" name="Прямая со стрелкой 260"/>
        <xdr:cNvCxnSpPr/>
      </xdr:nvCxnSpPr>
      <xdr:spPr>
        <a:xfrm>
          <a:off x="7423097" y="20209249"/>
          <a:ext cx="5670977" cy="0"/>
        </a:xfrm>
        <a:prstGeom prst="straightConnector1">
          <a:avLst/>
        </a:prstGeom>
        <a:ln w="6350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495683</xdr:colOff>
      <xdr:row>16</xdr:row>
      <xdr:rowOff>418909</xdr:rowOff>
    </xdr:from>
    <xdr:to>
      <xdr:col>9</xdr:col>
      <xdr:colOff>63361</xdr:colOff>
      <xdr:row>16</xdr:row>
      <xdr:rowOff>598909</xdr:rowOff>
    </xdr:to>
    <xdr:sp macro="" textlink="">
      <xdr:nvSpPr>
        <xdr:cNvPr id="267" name="Овал 266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7331271" y="20107644"/>
          <a:ext cx="172796" cy="180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9</xdr:col>
      <xdr:colOff>319061</xdr:colOff>
      <xdr:row>15</xdr:row>
      <xdr:rowOff>1315443</xdr:rowOff>
    </xdr:from>
    <xdr:to>
      <xdr:col>9</xdr:col>
      <xdr:colOff>319061</xdr:colOff>
      <xdr:row>16</xdr:row>
      <xdr:rowOff>516432</xdr:rowOff>
    </xdr:to>
    <xdr:cxnSp macro="">
      <xdr:nvCxnSpPr>
        <xdr:cNvPr id="269" name="Прямая со стрелкой 26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7759767" y="19480178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6715</xdr:colOff>
      <xdr:row>16</xdr:row>
      <xdr:rowOff>526528</xdr:rowOff>
    </xdr:from>
    <xdr:to>
      <xdr:col>10</xdr:col>
      <xdr:colOff>6715</xdr:colOff>
      <xdr:row>16</xdr:row>
      <xdr:rowOff>1251517</xdr:rowOff>
    </xdr:to>
    <xdr:cxnSp macro="">
      <xdr:nvCxnSpPr>
        <xdr:cNvPr id="270" name="Прямая со стрелкой 26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7985303" y="20215263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232251</xdr:colOff>
      <xdr:row>15</xdr:row>
      <xdr:rowOff>1315443</xdr:rowOff>
    </xdr:from>
    <xdr:to>
      <xdr:col>10</xdr:col>
      <xdr:colOff>232251</xdr:colOff>
      <xdr:row>16</xdr:row>
      <xdr:rowOff>516432</xdr:rowOff>
    </xdr:to>
    <xdr:cxnSp macro="">
      <xdr:nvCxnSpPr>
        <xdr:cNvPr id="271" name="Прямая со стрелкой 27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8210839" y="19480178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457787</xdr:colOff>
      <xdr:row>15</xdr:row>
      <xdr:rowOff>1296072</xdr:rowOff>
    </xdr:from>
    <xdr:to>
      <xdr:col>10</xdr:col>
      <xdr:colOff>457787</xdr:colOff>
      <xdr:row>16</xdr:row>
      <xdr:rowOff>516432</xdr:rowOff>
    </xdr:to>
    <xdr:grpSp>
      <xdr:nvGrpSpPr>
        <xdr:cNvPr id="274" name="Группа 273"/>
        <xdr:cNvGrpSpPr/>
      </xdr:nvGrpSpPr>
      <xdr:grpSpPr>
        <a:xfrm>
          <a:off x="8436375" y="20469337"/>
          <a:ext cx="0" cy="744360"/>
          <a:chOff x="8929660" y="24481651"/>
          <a:chExt cx="0" cy="744360"/>
        </a:xfrm>
      </xdr:grpSpPr>
      <xdr:cxnSp macro="">
        <xdr:nvCxnSpPr>
          <xdr:cNvPr id="286" name="Прямая со стрелкой 285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solidFill>
              <a:schemeClr val="tx1"/>
            </a:solidFill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87" name="Прямая со стрелкой 286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solidFill>
              <a:schemeClr val="tx1"/>
            </a:solidFill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529277</xdr:colOff>
      <xdr:row>15</xdr:row>
      <xdr:rowOff>1300204</xdr:rowOff>
    </xdr:from>
    <xdr:to>
      <xdr:col>11</xdr:col>
      <xdr:colOff>529277</xdr:colOff>
      <xdr:row>16</xdr:row>
      <xdr:rowOff>1264825</xdr:rowOff>
    </xdr:to>
    <xdr:cxnSp macro="">
      <xdr:nvCxnSpPr>
        <xdr:cNvPr id="288" name="Прямая со стрелкой 28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112983" y="19464939"/>
          <a:ext cx="0" cy="1488621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149695</xdr:colOff>
      <xdr:row>15</xdr:row>
      <xdr:rowOff>1315443</xdr:rowOff>
    </xdr:from>
    <xdr:to>
      <xdr:col>12</xdr:col>
      <xdr:colOff>149695</xdr:colOff>
      <xdr:row>16</xdr:row>
      <xdr:rowOff>516432</xdr:rowOff>
    </xdr:to>
    <xdr:cxnSp macro="">
      <xdr:nvCxnSpPr>
        <xdr:cNvPr id="289" name="Прямая со стрелкой 28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338519" y="19480178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375231</xdr:colOff>
      <xdr:row>16</xdr:row>
      <xdr:rowOff>526528</xdr:rowOff>
    </xdr:from>
    <xdr:to>
      <xdr:col>12</xdr:col>
      <xdr:colOff>375231</xdr:colOff>
      <xdr:row>16</xdr:row>
      <xdr:rowOff>1251517</xdr:rowOff>
    </xdr:to>
    <xdr:cxnSp macro="">
      <xdr:nvCxnSpPr>
        <xdr:cNvPr id="290" name="Прямая со стрелкой 28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564055" y="20215263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221186</xdr:colOff>
      <xdr:row>16</xdr:row>
      <xdr:rowOff>526528</xdr:rowOff>
    </xdr:from>
    <xdr:to>
      <xdr:col>13</xdr:col>
      <xdr:colOff>221186</xdr:colOff>
      <xdr:row>16</xdr:row>
      <xdr:rowOff>1251517</xdr:rowOff>
    </xdr:to>
    <xdr:cxnSp macro="">
      <xdr:nvCxnSpPr>
        <xdr:cNvPr id="291" name="Прямая со стрелкой 29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015127" y="20215263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67140</xdr:colOff>
      <xdr:row>15</xdr:row>
      <xdr:rowOff>1315443</xdr:rowOff>
    </xdr:from>
    <xdr:to>
      <xdr:col>14</xdr:col>
      <xdr:colOff>67140</xdr:colOff>
      <xdr:row>16</xdr:row>
      <xdr:rowOff>516432</xdr:rowOff>
    </xdr:to>
    <xdr:cxnSp macro="">
      <xdr:nvCxnSpPr>
        <xdr:cNvPr id="292" name="Прямая со стрелкой 29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466199" y="19480178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292676</xdr:colOff>
      <xdr:row>15</xdr:row>
      <xdr:rowOff>1300204</xdr:rowOff>
    </xdr:from>
    <xdr:to>
      <xdr:col>14</xdr:col>
      <xdr:colOff>292676</xdr:colOff>
      <xdr:row>16</xdr:row>
      <xdr:rowOff>1264825</xdr:rowOff>
    </xdr:to>
    <xdr:cxnSp macro="">
      <xdr:nvCxnSpPr>
        <xdr:cNvPr id="293" name="Прямая со стрелкой 29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691735" y="19464939"/>
          <a:ext cx="0" cy="1488621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589703</xdr:colOff>
      <xdr:row>16</xdr:row>
      <xdr:rowOff>526528</xdr:rowOff>
    </xdr:from>
    <xdr:to>
      <xdr:col>15</xdr:col>
      <xdr:colOff>589703</xdr:colOff>
      <xdr:row>16</xdr:row>
      <xdr:rowOff>1270888</xdr:rowOff>
    </xdr:to>
    <xdr:grpSp>
      <xdr:nvGrpSpPr>
        <xdr:cNvPr id="294" name="Группа 293"/>
        <xdr:cNvGrpSpPr/>
      </xdr:nvGrpSpPr>
      <xdr:grpSpPr>
        <a:xfrm flipV="1">
          <a:off x="11593879" y="21223793"/>
          <a:ext cx="0" cy="744360"/>
          <a:chOff x="8929660" y="24481651"/>
          <a:chExt cx="0" cy="744360"/>
        </a:xfrm>
      </xdr:grpSpPr>
      <xdr:cxnSp macro="">
        <xdr:nvCxnSpPr>
          <xdr:cNvPr id="295" name="Прямая со стрелкой 294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96" name="Прямая со стрелкой 295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435657</xdr:colOff>
      <xdr:row>15</xdr:row>
      <xdr:rowOff>1315443</xdr:rowOff>
    </xdr:from>
    <xdr:to>
      <xdr:col>16</xdr:col>
      <xdr:colOff>435657</xdr:colOff>
      <xdr:row>16</xdr:row>
      <xdr:rowOff>516432</xdr:rowOff>
    </xdr:to>
    <xdr:cxnSp macro="">
      <xdr:nvCxnSpPr>
        <xdr:cNvPr id="297" name="Прямая со стрелкой 29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2044951" y="19480178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56075</xdr:colOff>
      <xdr:row>16</xdr:row>
      <xdr:rowOff>526528</xdr:rowOff>
    </xdr:from>
    <xdr:to>
      <xdr:col>17</xdr:col>
      <xdr:colOff>56075</xdr:colOff>
      <xdr:row>16</xdr:row>
      <xdr:rowOff>1251517</xdr:rowOff>
    </xdr:to>
    <xdr:cxnSp macro="">
      <xdr:nvCxnSpPr>
        <xdr:cNvPr id="298" name="Прямая со стрелкой 29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2270487" y="20215263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281619</xdr:colOff>
      <xdr:row>15</xdr:row>
      <xdr:rowOff>1315443</xdr:rowOff>
    </xdr:from>
    <xdr:to>
      <xdr:col>17</xdr:col>
      <xdr:colOff>281619</xdr:colOff>
      <xdr:row>16</xdr:row>
      <xdr:rowOff>516432</xdr:rowOff>
    </xdr:to>
    <xdr:cxnSp macro="">
      <xdr:nvCxnSpPr>
        <xdr:cNvPr id="299" name="Прямая со стрелкой 29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2496031" y="19480178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446722</xdr:colOff>
      <xdr:row>16</xdr:row>
      <xdr:rowOff>526528</xdr:rowOff>
    </xdr:from>
    <xdr:to>
      <xdr:col>13</xdr:col>
      <xdr:colOff>446722</xdr:colOff>
      <xdr:row>16</xdr:row>
      <xdr:rowOff>1251517</xdr:rowOff>
    </xdr:to>
    <xdr:cxnSp macro="">
      <xdr:nvCxnSpPr>
        <xdr:cNvPr id="300" name="Прямая со стрелкой 29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240663" y="20215263"/>
          <a:ext cx="0" cy="724989"/>
        </a:xfrm>
        <a:prstGeom prst="straightConnector1">
          <a:avLst/>
        </a:prstGeom>
        <a:ln w="38100"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78205</xdr:colOff>
      <xdr:row>15</xdr:row>
      <xdr:rowOff>1315443</xdr:rowOff>
    </xdr:from>
    <xdr:to>
      <xdr:col>11</xdr:col>
      <xdr:colOff>78205</xdr:colOff>
      <xdr:row>16</xdr:row>
      <xdr:rowOff>516432</xdr:rowOff>
    </xdr:to>
    <xdr:cxnSp macro="">
      <xdr:nvCxnSpPr>
        <xdr:cNvPr id="301" name="Прямая со стрелкой 30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8661911" y="19480178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303741</xdr:colOff>
      <xdr:row>15</xdr:row>
      <xdr:rowOff>1300204</xdr:rowOff>
    </xdr:from>
    <xdr:to>
      <xdr:col>11</xdr:col>
      <xdr:colOff>303741</xdr:colOff>
      <xdr:row>16</xdr:row>
      <xdr:rowOff>1264825</xdr:rowOff>
    </xdr:to>
    <xdr:cxnSp macro="">
      <xdr:nvCxnSpPr>
        <xdr:cNvPr id="302" name="Прямая со стрелкой 30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8887447" y="19464939"/>
          <a:ext cx="0" cy="1488621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600767</xdr:colOff>
      <xdr:row>16</xdr:row>
      <xdr:rowOff>526528</xdr:rowOff>
    </xdr:from>
    <xdr:to>
      <xdr:col>12</xdr:col>
      <xdr:colOff>600767</xdr:colOff>
      <xdr:row>16</xdr:row>
      <xdr:rowOff>1251517</xdr:rowOff>
    </xdr:to>
    <xdr:cxnSp macro="">
      <xdr:nvCxnSpPr>
        <xdr:cNvPr id="304" name="Прямая со стрелкой 30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9789591" y="20215263"/>
          <a:ext cx="0" cy="724989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518212</xdr:colOff>
      <xdr:row>15</xdr:row>
      <xdr:rowOff>1300204</xdr:rowOff>
    </xdr:from>
    <xdr:to>
      <xdr:col>14</xdr:col>
      <xdr:colOff>518212</xdr:colOff>
      <xdr:row>16</xdr:row>
      <xdr:rowOff>1264825</xdr:rowOff>
    </xdr:to>
    <xdr:cxnSp macro="">
      <xdr:nvCxnSpPr>
        <xdr:cNvPr id="305" name="Прямая со стрелкой 30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917271" y="19464939"/>
          <a:ext cx="0" cy="1488621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138631</xdr:colOff>
      <xdr:row>16</xdr:row>
      <xdr:rowOff>526528</xdr:rowOff>
    </xdr:from>
    <xdr:to>
      <xdr:col>15</xdr:col>
      <xdr:colOff>138631</xdr:colOff>
      <xdr:row>16</xdr:row>
      <xdr:rowOff>1251517</xdr:rowOff>
    </xdr:to>
    <xdr:cxnSp macro="">
      <xdr:nvCxnSpPr>
        <xdr:cNvPr id="306" name="Прямая со стрелкой 30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1142807" y="20215263"/>
          <a:ext cx="0" cy="724989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364167</xdr:colOff>
      <xdr:row>16</xdr:row>
      <xdr:rowOff>526528</xdr:rowOff>
    </xdr:from>
    <xdr:to>
      <xdr:col>15</xdr:col>
      <xdr:colOff>364167</xdr:colOff>
      <xdr:row>16</xdr:row>
      <xdr:rowOff>1251517</xdr:rowOff>
    </xdr:to>
    <xdr:cxnSp macro="">
      <xdr:nvCxnSpPr>
        <xdr:cNvPr id="307" name="Прямая со стрелкой 30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1368343" y="20215263"/>
          <a:ext cx="0" cy="724989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210121</xdr:colOff>
      <xdr:row>16</xdr:row>
      <xdr:rowOff>526528</xdr:rowOff>
    </xdr:from>
    <xdr:to>
      <xdr:col>16</xdr:col>
      <xdr:colOff>210121</xdr:colOff>
      <xdr:row>16</xdr:row>
      <xdr:rowOff>1251517</xdr:rowOff>
    </xdr:to>
    <xdr:cxnSp macro="">
      <xdr:nvCxnSpPr>
        <xdr:cNvPr id="308" name="Прямая со стрелкой 30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1819415" y="20215263"/>
          <a:ext cx="0" cy="724989"/>
        </a:xfrm>
        <a:prstGeom prst="straightConnector1">
          <a:avLst/>
        </a:prstGeom>
        <a:ln w="38100">
          <a:prstDash val="sysDot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1238250</xdr:colOff>
      <xdr:row>26</xdr:row>
      <xdr:rowOff>66675</xdr:rowOff>
    </xdr:from>
    <xdr:to>
      <xdr:col>4</xdr:col>
      <xdr:colOff>1238250</xdr:colOff>
      <xdr:row>26</xdr:row>
      <xdr:rowOff>981075</xdr:rowOff>
    </xdr:to>
    <xdr:cxnSp macro="">
      <xdr:nvCxnSpPr>
        <xdr:cNvPr id="309" name="Прямая соединительная линия 308"/>
        <xdr:cNvCxnSpPr/>
      </xdr:nvCxnSpPr>
      <xdr:spPr>
        <a:xfrm>
          <a:off x="4362450" y="34470975"/>
          <a:ext cx="0" cy="91440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462643</xdr:colOff>
      <xdr:row>25</xdr:row>
      <xdr:rowOff>547781</xdr:rowOff>
    </xdr:from>
    <xdr:to>
      <xdr:col>5</xdr:col>
      <xdr:colOff>577022</xdr:colOff>
      <xdr:row>25</xdr:row>
      <xdr:rowOff>938306</xdr:rowOff>
    </xdr:to>
    <xdr:sp macro="" textlink="">
      <xdr:nvSpPr>
        <xdr:cNvPr id="317" name="Прямоугольник 316"/>
        <xdr:cNvSpPr/>
      </xdr:nvSpPr>
      <xdr:spPr>
        <a:xfrm>
          <a:off x="3589084" y="44116252"/>
          <a:ext cx="1492703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ГРИНЕВО</a:t>
          </a:r>
        </a:p>
      </xdr:txBody>
    </xdr:sp>
    <xdr:clientData/>
  </xdr:twoCellAnchor>
  <xdr:twoCellAnchor>
    <xdr:from>
      <xdr:col>4</xdr:col>
      <xdr:colOff>469291</xdr:colOff>
      <xdr:row>25</xdr:row>
      <xdr:rowOff>545888</xdr:rowOff>
    </xdr:from>
    <xdr:to>
      <xdr:col>5</xdr:col>
      <xdr:colOff>567262</xdr:colOff>
      <xdr:row>25</xdr:row>
      <xdr:rowOff>937773</xdr:rowOff>
    </xdr:to>
    <xdr:cxnSp macro="">
      <xdr:nvCxnSpPr>
        <xdr:cNvPr id="318" name="Прямая соединительная линия 317"/>
        <xdr:cNvCxnSpPr/>
      </xdr:nvCxnSpPr>
      <xdr:spPr>
        <a:xfrm flipV="1">
          <a:off x="3595732" y="44114359"/>
          <a:ext cx="1476295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734958</xdr:colOff>
      <xdr:row>25</xdr:row>
      <xdr:rowOff>81642</xdr:rowOff>
    </xdr:from>
    <xdr:to>
      <xdr:col>3</xdr:col>
      <xdr:colOff>734958</xdr:colOff>
      <xdr:row>25</xdr:row>
      <xdr:rowOff>1371182</xdr:rowOff>
    </xdr:to>
    <xdr:cxnSp macro="">
      <xdr:nvCxnSpPr>
        <xdr:cNvPr id="319" name="Прямая со стрелкой 31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86172" y="40576499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693965</xdr:colOff>
      <xdr:row>25</xdr:row>
      <xdr:rowOff>1353486</xdr:rowOff>
    </xdr:from>
    <xdr:to>
      <xdr:col>3</xdr:col>
      <xdr:colOff>765965</xdr:colOff>
      <xdr:row>25</xdr:row>
      <xdr:rowOff>1425486</xdr:rowOff>
    </xdr:to>
    <xdr:sp macro="" textlink="">
      <xdr:nvSpPr>
        <xdr:cNvPr id="320" name="Овал 31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45179" y="4184834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908637</xdr:colOff>
      <xdr:row>25</xdr:row>
      <xdr:rowOff>719885</xdr:rowOff>
    </xdr:from>
    <xdr:to>
      <xdr:col>3</xdr:col>
      <xdr:colOff>980637</xdr:colOff>
      <xdr:row>25</xdr:row>
      <xdr:rowOff>791885</xdr:rowOff>
    </xdr:to>
    <xdr:sp macro="" textlink="">
      <xdr:nvSpPr>
        <xdr:cNvPr id="321" name="5-конечная звезда 32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9851" y="4121474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734958</xdr:colOff>
      <xdr:row>19</xdr:row>
      <xdr:rowOff>95249</xdr:rowOff>
    </xdr:from>
    <xdr:to>
      <xdr:col>3</xdr:col>
      <xdr:colOff>734958</xdr:colOff>
      <xdr:row>19</xdr:row>
      <xdr:rowOff>1384789</xdr:rowOff>
    </xdr:to>
    <xdr:cxnSp macro="">
      <xdr:nvCxnSpPr>
        <xdr:cNvPr id="322" name="Прямая со стрелкой 32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86172" y="34494106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693965</xdr:colOff>
      <xdr:row>19</xdr:row>
      <xdr:rowOff>1367093</xdr:rowOff>
    </xdr:from>
    <xdr:to>
      <xdr:col>3</xdr:col>
      <xdr:colOff>765965</xdr:colOff>
      <xdr:row>19</xdr:row>
      <xdr:rowOff>1439093</xdr:rowOff>
    </xdr:to>
    <xdr:sp macro="" textlink="">
      <xdr:nvSpPr>
        <xdr:cNvPr id="323" name="Овал 32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45179" y="3576595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908637</xdr:colOff>
      <xdr:row>19</xdr:row>
      <xdr:rowOff>733492</xdr:rowOff>
    </xdr:from>
    <xdr:to>
      <xdr:col>3</xdr:col>
      <xdr:colOff>980637</xdr:colOff>
      <xdr:row>19</xdr:row>
      <xdr:rowOff>805492</xdr:rowOff>
    </xdr:to>
    <xdr:sp macro="" textlink="">
      <xdr:nvSpPr>
        <xdr:cNvPr id="324" name="5-конечная звезда 32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9851" y="3513234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843643</xdr:colOff>
      <xdr:row>19</xdr:row>
      <xdr:rowOff>272141</xdr:rowOff>
    </xdr:from>
    <xdr:to>
      <xdr:col>5</xdr:col>
      <xdr:colOff>163174</xdr:colOff>
      <xdr:row>19</xdr:row>
      <xdr:rowOff>891266</xdr:rowOff>
    </xdr:to>
    <xdr:pic>
      <xdr:nvPicPr>
        <xdr:cNvPr id="325" name="Рисунок 324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3286" y="34670998"/>
          <a:ext cx="707459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952499</xdr:colOff>
      <xdr:row>19</xdr:row>
      <xdr:rowOff>952498</xdr:rowOff>
    </xdr:from>
    <xdr:to>
      <xdr:col>5</xdr:col>
      <xdr:colOff>88445</xdr:colOff>
      <xdr:row>19</xdr:row>
      <xdr:rowOff>1104898</xdr:rowOff>
    </xdr:to>
    <xdr:sp macro="" textlink="">
      <xdr:nvSpPr>
        <xdr:cNvPr id="326" name="Скругленный прямоугольник 325"/>
        <xdr:cNvSpPr/>
      </xdr:nvSpPr>
      <xdr:spPr>
        <a:xfrm>
          <a:off x="4082142" y="35351355"/>
          <a:ext cx="523874" cy="152400"/>
        </a:xfrm>
        <a:prstGeom prst="round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000" b="1">
              <a:solidFill>
                <a:sysClr val="windowText" lastClr="000000"/>
              </a:solidFill>
            </a:rPr>
            <a:t>150</a:t>
          </a:r>
          <a:r>
            <a:rPr lang="en-US" sz="1000" b="1">
              <a:solidFill>
                <a:sysClr val="windowText" lastClr="000000"/>
              </a:solidFill>
            </a:rPr>
            <a:t> </a:t>
          </a:r>
          <a:r>
            <a:rPr lang="ru-RU" sz="1000" b="1">
              <a:solidFill>
                <a:sysClr val="windowText" lastClr="000000"/>
              </a:solidFill>
            </a:rPr>
            <a:t>м</a:t>
          </a:r>
        </a:p>
      </xdr:txBody>
    </xdr:sp>
    <xdr:clientData/>
  </xdr:twoCellAnchor>
  <xdr:twoCellAnchor>
    <xdr:from>
      <xdr:col>4</xdr:col>
      <xdr:colOff>462643</xdr:colOff>
      <xdr:row>20</xdr:row>
      <xdr:rowOff>491751</xdr:rowOff>
    </xdr:from>
    <xdr:to>
      <xdr:col>5</xdr:col>
      <xdr:colOff>577022</xdr:colOff>
      <xdr:row>20</xdr:row>
      <xdr:rowOff>882276</xdr:rowOff>
    </xdr:to>
    <xdr:sp macro="" textlink="">
      <xdr:nvSpPr>
        <xdr:cNvPr id="327" name="Прямоугольник 326"/>
        <xdr:cNvSpPr/>
      </xdr:nvSpPr>
      <xdr:spPr>
        <a:xfrm>
          <a:off x="3592286" y="36414608"/>
          <a:ext cx="1502307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469291</xdr:colOff>
      <xdr:row>20</xdr:row>
      <xdr:rowOff>489858</xdr:rowOff>
    </xdr:from>
    <xdr:to>
      <xdr:col>5</xdr:col>
      <xdr:colOff>567262</xdr:colOff>
      <xdr:row>20</xdr:row>
      <xdr:rowOff>881743</xdr:rowOff>
    </xdr:to>
    <xdr:cxnSp macro="">
      <xdr:nvCxnSpPr>
        <xdr:cNvPr id="328" name="Прямая соединительная линия 327"/>
        <xdr:cNvCxnSpPr/>
      </xdr:nvCxnSpPr>
      <xdr:spPr>
        <a:xfrm flipV="1">
          <a:off x="3598934" y="36412715"/>
          <a:ext cx="1485899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462643</xdr:colOff>
      <xdr:row>21</xdr:row>
      <xdr:rowOff>600608</xdr:rowOff>
    </xdr:from>
    <xdr:to>
      <xdr:col>5</xdr:col>
      <xdr:colOff>577022</xdr:colOff>
      <xdr:row>21</xdr:row>
      <xdr:rowOff>991133</xdr:rowOff>
    </xdr:to>
    <xdr:sp macro="" textlink="">
      <xdr:nvSpPr>
        <xdr:cNvPr id="329" name="Прямоугольник 328"/>
        <xdr:cNvSpPr/>
      </xdr:nvSpPr>
      <xdr:spPr>
        <a:xfrm>
          <a:off x="3592286" y="38047465"/>
          <a:ext cx="1502307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469291</xdr:colOff>
      <xdr:row>21</xdr:row>
      <xdr:rowOff>598715</xdr:rowOff>
    </xdr:from>
    <xdr:to>
      <xdr:col>5</xdr:col>
      <xdr:colOff>567262</xdr:colOff>
      <xdr:row>21</xdr:row>
      <xdr:rowOff>990600</xdr:rowOff>
    </xdr:to>
    <xdr:cxnSp macro="">
      <xdr:nvCxnSpPr>
        <xdr:cNvPr id="330" name="Прямая соединительная линия 329"/>
        <xdr:cNvCxnSpPr/>
      </xdr:nvCxnSpPr>
      <xdr:spPr>
        <a:xfrm flipV="1">
          <a:off x="3598934" y="38045572"/>
          <a:ext cx="1485899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734958</xdr:colOff>
      <xdr:row>20</xdr:row>
      <xdr:rowOff>54428</xdr:rowOff>
    </xdr:from>
    <xdr:to>
      <xdr:col>3</xdr:col>
      <xdr:colOff>734958</xdr:colOff>
      <xdr:row>20</xdr:row>
      <xdr:rowOff>1343968</xdr:rowOff>
    </xdr:to>
    <xdr:cxnSp macro="">
      <xdr:nvCxnSpPr>
        <xdr:cNvPr id="331" name="Прямая со стрелкой 33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86172" y="35977285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693965</xdr:colOff>
      <xdr:row>20</xdr:row>
      <xdr:rowOff>1326272</xdr:rowOff>
    </xdr:from>
    <xdr:to>
      <xdr:col>3</xdr:col>
      <xdr:colOff>765965</xdr:colOff>
      <xdr:row>20</xdr:row>
      <xdr:rowOff>1398272</xdr:rowOff>
    </xdr:to>
    <xdr:sp macro="" textlink="">
      <xdr:nvSpPr>
        <xdr:cNvPr id="332" name="Овал 33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45179" y="3724912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908637</xdr:colOff>
      <xdr:row>20</xdr:row>
      <xdr:rowOff>692671</xdr:rowOff>
    </xdr:from>
    <xdr:to>
      <xdr:col>3</xdr:col>
      <xdr:colOff>980637</xdr:colOff>
      <xdr:row>20</xdr:row>
      <xdr:rowOff>764671</xdr:rowOff>
    </xdr:to>
    <xdr:sp macro="" textlink="">
      <xdr:nvSpPr>
        <xdr:cNvPr id="333" name="5-конечная звезда 332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9851" y="36615528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734958</xdr:colOff>
      <xdr:row>21</xdr:row>
      <xdr:rowOff>68035</xdr:rowOff>
    </xdr:from>
    <xdr:to>
      <xdr:col>3</xdr:col>
      <xdr:colOff>734958</xdr:colOff>
      <xdr:row>21</xdr:row>
      <xdr:rowOff>1357575</xdr:rowOff>
    </xdr:to>
    <xdr:cxnSp macro="">
      <xdr:nvCxnSpPr>
        <xdr:cNvPr id="334" name="Прямая со стрелкой 33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86172" y="37514892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693965</xdr:colOff>
      <xdr:row>21</xdr:row>
      <xdr:rowOff>1339879</xdr:rowOff>
    </xdr:from>
    <xdr:to>
      <xdr:col>3</xdr:col>
      <xdr:colOff>765965</xdr:colOff>
      <xdr:row>21</xdr:row>
      <xdr:rowOff>1411879</xdr:rowOff>
    </xdr:to>
    <xdr:sp macro="" textlink="">
      <xdr:nvSpPr>
        <xdr:cNvPr id="335" name="Овал 33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45179" y="3878673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908637</xdr:colOff>
      <xdr:row>21</xdr:row>
      <xdr:rowOff>706278</xdr:rowOff>
    </xdr:from>
    <xdr:to>
      <xdr:col>3</xdr:col>
      <xdr:colOff>980637</xdr:colOff>
      <xdr:row>21</xdr:row>
      <xdr:rowOff>778278</xdr:rowOff>
    </xdr:to>
    <xdr:sp macro="" textlink="">
      <xdr:nvSpPr>
        <xdr:cNvPr id="336" name="5-конечная звезда 335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59851" y="3815313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734958</xdr:colOff>
      <xdr:row>22</xdr:row>
      <xdr:rowOff>81642</xdr:rowOff>
    </xdr:from>
    <xdr:to>
      <xdr:col>3</xdr:col>
      <xdr:colOff>734958</xdr:colOff>
      <xdr:row>22</xdr:row>
      <xdr:rowOff>1371182</xdr:rowOff>
    </xdr:to>
    <xdr:cxnSp macro="">
      <xdr:nvCxnSpPr>
        <xdr:cNvPr id="337" name="Прямая со стрелкой 33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86172" y="39052499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693965</xdr:colOff>
      <xdr:row>22</xdr:row>
      <xdr:rowOff>1353486</xdr:rowOff>
    </xdr:from>
    <xdr:to>
      <xdr:col>3</xdr:col>
      <xdr:colOff>765965</xdr:colOff>
      <xdr:row>22</xdr:row>
      <xdr:rowOff>1425486</xdr:rowOff>
    </xdr:to>
    <xdr:sp macro="" textlink="">
      <xdr:nvSpPr>
        <xdr:cNvPr id="338" name="Овал 33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45179" y="4032434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737510</xdr:colOff>
      <xdr:row>22</xdr:row>
      <xdr:rowOff>541735</xdr:rowOff>
    </xdr:from>
    <xdr:to>
      <xdr:col>3</xdr:col>
      <xdr:colOff>1476375</xdr:colOff>
      <xdr:row>22</xdr:row>
      <xdr:rowOff>818393</xdr:rowOff>
    </xdr:to>
    <xdr:cxnSp macro="">
      <xdr:nvCxnSpPr>
        <xdr:cNvPr id="340" name="Прямая со стрелкой 33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85323" y="39522798"/>
          <a:ext cx="738865" cy="276658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830207</xdr:colOff>
      <xdr:row>23</xdr:row>
      <xdr:rowOff>54428</xdr:rowOff>
    </xdr:from>
    <xdr:to>
      <xdr:col>3</xdr:col>
      <xdr:colOff>830207</xdr:colOff>
      <xdr:row>23</xdr:row>
      <xdr:rowOff>1343968</xdr:rowOff>
    </xdr:to>
    <xdr:cxnSp macro="">
      <xdr:nvCxnSpPr>
        <xdr:cNvPr id="341" name="Прямая со стрелкой 34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81421" y="40549285"/>
          <a:ext cx="0" cy="128954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789214</xdr:colOff>
      <xdr:row>23</xdr:row>
      <xdr:rowOff>1326272</xdr:rowOff>
    </xdr:from>
    <xdr:to>
      <xdr:col>3</xdr:col>
      <xdr:colOff>861214</xdr:colOff>
      <xdr:row>23</xdr:row>
      <xdr:rowOff>1398272</xdr:rowOff>
    </xdr:to>
    <xdr:sp macro="" textlink="">
      <xdr:nvSpPr>
        <xdr:cNvPr id="342" name="Овал 34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40428" y="4182112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459601</xdr:colOff>
      <xdr:row>23</xdr:row>
      <xdr:rowOff>719885</xdr:rowOff>
    </xdr:from>
    <xdr:to>
      <xdr:col>3</xdr:col>
      <xdr:colOff>531601</xdr:colOff>
      <xdr:row>23</xdr:row>
      <xdr:rowOff>791885</xdr:rowOff>
    </xdr:to>
    <xdr:sp macro="" textlink="">
      <xdr:nvSpPr>
        <xdr:cNvPr id="344" name="5-конечная звезда 343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010815" y="41214742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526676</xdr:colOff>
      <xdr:row>23</xdr:row>
      <xdr:rowOff>310842</xdr:rowOff>
    </xdr:from>
    <xdr:to>
      <xdr:col>4</xdr:col>
      <xdr:colOff>684519</xdr:colOff>
      <xdr:row>23</xdr:row>
      <xdr:rowOff>497574</xdr:rowOff>
    </xdr:to>
    <xdr:sp macro="" textlink="">
      <xdr:nvSpPr>
        <xdr:cNvPr id="346" name="Стрелка вправо 345"/>
        <xdr:cNvSpPr/>
      </xdr:nvSpPr>
      <xdr:spPr>
        <a:xfrm flipH="1">
          <a:off x="3656319" y="28613699"/>
          <a:ext cx="157843" cy="186732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630521</xdr:colOff>
      <xdr:row>23</xdr:row>
      <xdr:rowOff>461037</xdr:rowOff>
    </xdr:from>
    <xdr:to>
      <xdr:col>3</xdr:col>
      <xdr:colOff>827943</xdr:colOff>
      <xdr:row>23</xdr:row>
      <xdr:rowOff>1245577</xdr:rowOff>
    </xdr:to>
    <xdr:sp macro="" textlink="">
      <xdr:nvSpPr>
        <xdr:cNvPr id="11" name="Полилиния 10"/>
        <xdr:cNvSpPr/>
      </xdr:nvSpPr>
      <xdr:spPr>
        <a:xfrm>
          <a:off x="2169175" y="40964268"/>
          <a:ext cx="197422" cy="784540"/>
        </a:xfrm>
        <a:custGeom>
          <a:avLst/>
          <a:gdLst>
            <a:gd name="connsiteX0" fmla="*/ 240167 w 240167"/>
            <a:gd name="connsiteY0" fmla="*/ 315574 h 447458"/>
            <a:gd name="connsiteX1" fmla="*/ 210859 w 240167"/>
            <a:gd name="connsiteY1" fmla="*/ 88439 h 447458"/>
            <a:gd name="connsiteX2" fmla="*/ 86302 w 240167"/>
            <a:gd name="connsiteY2" fmla="*/ 516 h 447458"/>
            <a:gd name="connsiteX3" fmla="*/ 5706 w 240167"/>
            <a:gd name="connsiteY3" fmla="*/ 59132 h 447458"/>
            <a:gd name="connsiteX4" fmla="*/ 20359 w 240167"/>
            <a:gd name="connsiteY4" fmla="*/ 198343 h 447458"/>
            <a:gd name="connsiteX5" fmla="*/ 130263 w 240167"/>
            <a:gd name="connsiteY5" fmla="*/ 271612 h 447458"/>
            <a:gd name="connsiteX6" fmla="*/ 152244 w 240167"/>
            <a:gd name="connsiteY6" fmla="*/ 447458 h 447458"/>
            <a:gd name="connsiteX0" fmla="*/ 240167 w 240167"/>
            <a:gd name="connsiteY0" fmla="*/ 315574 h 806477"/>
            <a:gd name="connsiteX1" fmla="*/ 210859 w 240167"/>
            <a:gd name="connsiteY1" fmla="*/ 88439 h 806477"/>
            <a:gd name="connsiteX2" fmla="*/ 86302 w 240167"/>
            <a:gd name="connsiteY2" fmla="*/ 516 h 806477"/>
            <a:gd name="connsiteX3" fmla="*/ 5706 w 240167"/>
            <a:gd name="connsiteY3" fmla="*/ 59132 h 806477"/>
            <a:gd name="connsiteX4" fmla="*/ 20359 w 240167"/>
            <a:gd name="connsiteY4" fmla="*/ 198343 h 806477"/>
            <a:gd name="connsiteX5" fmla="*/ 130263 w 240167"/>
            <a:gd name="connsiteY5" fmla="*/ 271612 h 806477"/>
            <a:gd name="connsiteX6" fmla="*/ 144917 w 240167"/>
            <a:gd name="connsiteY6" fmla="*/ 806477 h 806477"/>
            <a:gd name="connsiteX0" fmla="*/ 234689 w 234689"/>
            <a:gd name="connsiteY0" fmla="*/ 315543 h 806446"/>
            <a:gd name="connsiteX1" fmla="*/ 205381 w 234689"/>
            <a:gd name="connsiteY1" fmla="*/ 88408 h 806446"/>
            <a:gd name="connsiteX2" fmla="*/ 80824 w 234689"/>
            <a:gd name="connsiteY2" fmla="*/ 485 h 806446"/>
            <a:gd name="connsiteX3" fmla="*/ 228 w 234689"/>
            <a:gd name="connsiteY3" fmla="*/ 59101 h 806446"/>
            <a:gd name="connsiteX4" fmla="*/ 58842 w 234689"/>
            <a:gd name="connsiteY4" fmla="*/ 183658 h 806446"/>
            <a:gd name="connsiteX5" fmla="*/ 124785 w 234689"/>
            <a:gd name="connsiteY5" fmla="*/ 271581 h 806446"/>
            <a:gd name="connsiteX6" fmla="*/ 139439 w 234689"/>
            <a:gd name="connsiteY6" fmla="*/ 806446 h 806446"/>
            <a:gd name="connsiteX0" fmla="*/ 236672 w 236672"/>
            <a:gd name="connsiteY0" fmla="*/ 315543 h 806446"/>
            <a:gd name="connsiteX1" fmla="*/ 207364 w 236672"/>
            <a:gd name="connsiteY1" fmla="*/ 88408 h 806446"/>
            <a:gd name="connsiteX2" fmla="*/ 141422 w 236672"/>
            <a:gd name="connsiteY2" fmla="*/ 485 h 806446"/>
            <a:gd name="connsiteX3" fmla="*/ 2211 w 236672"/>
            <a:gd name="connsiteY3" fmla="*/ 59101 h 806446"/>
            <a:gd name="connsiteX4" fmla="*/ 60825 w 236672"/>
            <a:gd name="connsiteY4" fmla="*/ 183658 h 806446"/>
            <a:gd name="connsiteX5" fmla="*/ 126768 w 236672"/>
            <a:gd name="connsiteY5" fmla="*/ 271581 h 806446"/>
            <a:gd name="connsiteX6" fmla="*/ 141422 w 236672"/>
            <a:gd name="connsiteY6" fmla="*/ 806446 h 806446"/>
            <a:gd name="connsiteX0" fmla="*/ 202161 w 202161"/>
            <a:gd name="connsiteY0" fmla="*/ 315298 h 806201"/>
            <a:gd name="connsiteX1" fmla="*/ 172853 w 202161"/>
            <a:gd name="connsiteY1" fmla="*/ 88163 h 806201"/>
            <a:gd name="connsiteX2" fmla="*/ 106911 w 202161"/>
            <a:gd name="connsiteY2" fmla="*/ 240 h 806201"/>
            <a:gd name="connsiteX3" fmla="*/ 4334 w 202161"/>
            <a:gd name="connsiteY3" fmla="*/ 66183 h 806201"/>
            <a:gd name="connsiteX4" fmla="*/ 26314 w 202161"/>
            <a:gd name="connsiteY4" fmla="*/ 183413 h 806201"/>
            <a:gd name="connsiteX5" fmla="*/ 92257 w 202161"/>
            <a:gd name="connsiteY5" fmla="*/ 271336 h 806201"/>
            <a:gd name="connsiteX6" fmla="*/ 106911 w 202161"/>
            <a:gd name="connsiteY6" fmla="*/ 806201 h 806201"/>
            <a:gd name="connsiteX0" fmla="*/ 201667 w 201667"/>
            <a:gd name="connsiteY0" fmla="*/ 359147 h 850050"/>
            <a:gd name="connsiteX1" fmla="*/ 172359 w 201667"/>
            <a:gd name="connsiteY1" fmla="*/ 132012 h 850050"/>
            <a:gd name="connsiteX2" fmla="*/ 99090 w 201667"/>
            <a:gd name="connsiteY2" fmla="*/ 128 h 850050"/>
            <a:gd name="connsiteX3" fmla="*/ 3840 w 201667"/>
            <a:gd name="connsiteY3" fmla="*/ 110032 h 850050"/>
            <a:gd name="connsiteX4" fmla="*/ 25820 w 201667"/>
            <a:gd name="connsiteY4" fmla="*/ 227262 h 850050"/>
            <a:gd name="connsiteX5" fmla="*/ 91763 w 201667"/>
            <a:gd name="connsiteY5" fmla="*/ 315185 h 850050"/>
            <a:gd name="connsiteX6" fmla="*/ 106417 w 201667"/>
            <a:gd name="connsiteY6" fmla="*/ 850050 h 850050"/>
            <a:gd name="connsiteX0" fmla="*/ 201667 w 201667"/>
            <a:gd name="connsiteY0" fmla="*/ 360368 h 851271"/>
            <a:gd name="connsiteX1" fmla="*/ 172359 w 201667"/>
            <a:gd name="connsiteY1" fmla="*/ 133233 h 851271"/>
            <a:gd name="connsiteX2" fmla="*/ 99090 w 201667"/>
            <a:gd name="connsiteY2" fmla="*/ 1349 h 851271"/>
            <a:gd name="connsiteX3" fmla="*/ 3840 w 201667"/>
            <a:gd name="connsiteY3" fmla="*/ 74618 h 851271"/>
            <a:gd name="connsiteX4" fmla="*/ 25820 w 201667"/>
            <a:gd name="connsiteY4" fmla="*/ 228483 h 851271"/>
            <a:gd name="connsiteX5" fmla="*/ 91763 w 201667"/>
            <a:gd name="connsiteY5" fmla="*/ 316406 h 851271"/>
            <a:gd name="connsiteX6" fmla="*/ 106417 w 201667"/>
            <a:gd name="connsiteY6" fmla="*/ 851271 h 851271"/>
            <a:gd name="connsiteX0" fmla="*/ 201667 w 201667"/>
            <a:gd name="connsiteY0" fmla="*/ 359019 h 849922"/>
            <a:gd name="connsiteX1" fmla="*/ 172359 w 201667"/>
            <a:gd name="connsiteY1" fmla="*/ 73269 h 849922"/>
            <a:gd name="connsiteX2" fmla="*/ 99090 w 201667"/>
            <a:gd name="connsiteY2" fmla="*/ 0 h 849922"/>
            <a:gd name="connsiteX3" fmla="*/ 3840 w 201667"/>
            <a:gd name="connsiteY3" fmla="*/ 73269 h 849922"/>
            <a:gd name="connsiteX4" fmla="*/ 25820 w 201667"/>
            <a:gd name="connsiteY4" fmla="*/ 227134 h 849922"/>
            <a:gd name="connsiteX5" fmla="*/ 91763 w 201667"/>
            <a:gd name="connsiteY5" fmla="*/ 315057 h 849922"/>
            <a:gd name="connsiteX6" fmla="*/ 106417 w 201667"/>
            <a:gd name="connsiteY6" fmla="*/ 849922 h 849922"/>
            <a:gd name="connsiteX0" fmla="*/ 205815 w 205815"/>
            <a:gd name="connsiteY0" fmla="*/ 359019 h 849922"/>
            <a:gd name="connsiteX1" fmla="*/ 176507 w 205815"/>
            <a:gd name="connsiteY1" fmla="*/ 73269 h 849922"/>
            <a:gd name="connsiteX2" fmla="*/ 103238 w 205815"/>
            <a:gd name="connsiteY2" fmla="*/ 0 h 849922"/>
            <a:gd name="connsiteX3" fmla="*/ 7988 w 205815"/>
            <a:gd name="connsiteY3" fmla="*/ 73269 h 849922"/>
            <a:gd name="connsiteX4" fmla="*/ 15314 w 205815"/>
            <a:gd name="connsiteY4" fmla="*/ 190500 h 849922"/>
            <a:gd name="connsiteX5" fmla="*/ 95911 w 205815"/>
            <a:gd name="connsiteY5" fmla="*/ 315057 h 849922"/>
            <a:gd name="connsiteX6" fmla="*/ 110565 w 205815"/>
            <a:gd name="connsiteY6" fmla="*/ 849922 h 849922"/>
            <a:gd name="connsiteX0" fmla="*/ 205815 w 205815"/>
            <a:gd name="connsiteY0" fmla="*/ 309537 h 800440"/>
            <a:gd name="connsiteX1" fmla="*/ 176507 w 205815"/>
            <a:gd name="connsiteY1" fmla="*/ 23787 h 800440"/>
            <a:gd name="connsiteX2" fmla="*/ 103238 w 205815"/>
            <a:gd name="connsiteY2" fmla="*/ 16460 h 800440"/>
            <a:gd name="connsiteX3" fmla="*/ 7988 w 205815"/>
            <a:gd name="connsiteY3" fmla="*/ 23787 h 800440"/>
            <a:gd name="connsiteX4" fmla="*/ 15314 w 205815"/>
            <a:gd name="connsiteY4" fmla="*/ 141018 h 800440"/>
            <a:gd name="connsiteX5" fmla="*/ 95911 w 205815"/>
            <a:gd name="connsiteY5" fmla="*/ 265575 h 800440"/>
            <a:gd name="connsiteX6" fmla="*/ 110565 w 205815"/>
            <a:gd name="connsiteY6" fmla="*/ 800440 h 800440"/>
            <a:gd name="connsiteX0" fmla="*/ 205815 w 205815"/>
            <a:gd name="connsiteY0" fmla="*/ 300424 h 791327"/>
            <a:gd name="connsiteX1" fmla="*/ 147199 w 205815"/>
            <a:gd name="connsiteY1" fmla="*/ 65962 h 791327"/>
            <a:gd name="connsiteX2" fmla="*/ 103238 w 205815"/>
            <a:gd name="connsiteY2" fmla="*/ 7347 h 791327"/>
            <a:gd name="connsiteX3" fmla="*/ 7988 w 205815"/>
            <a:gd name="connsiteY3" fmla="*/ 14674 h 791327"/>
            <a:gd name="connsiteX4" fmla="*/ 15314 w 205815"/>
            <a:gd name="connsiteY4" fmla="*/ 131905 h 791327"/>
            <a:gd name="connsiteX5" fmla="*/ 95911 w 205815"/>
            <a:gd name="connsiteY5" fmla="*/ 256462 h 791327"/>
            <a:gd name="connsiteX6" fmla="*/ 110565 w 205815"/>
            <a:gd name="connsiteY6" fmla="*/ 791327 h 791327"/>
            <a:gd name="connsiteX0" fmla="*/ 197422 w 197422"/>
            <a:gd name="connsiteY0" fmla="*/ 293240 h 784143"/>
            <a:gd name="connsiteX1" fmla="*/ 138806 w 197422"/>
            <a:gd name="connsiteY1" fmla="*/ 58778 h 784143"/>
            <a:gd name="connsiteX2" fmla="*/ 94845 w 197422"/>
            <a:gd name="connsiteY2" fmla="*/ 163 h 784143"/>
            <a:gd name="connsiteX3" fmla="*/ 14249 w 197422"/>
            <a:gd name="connsiteY3" fmla="*/ 44124 h 784143"/>
            <a:gd name="connsiteX4" fmla="*/ 6921 w 197422"/>
            <a:gd name="connsiteY4" fmla="*/ 124721 h 784143"/>
            <a:gd name="connsiteX5" fmla="*/ 87518 w 197422"/>
            <a:gd name="connsiteY5" fmla="*/ 249278 h 784143"/>
            <a:gd name="connsiteX6" fmla="*/ 102172 w 197422"/>
            <a:gd name="connsiteY6" fmla="*/ 784143 h 784143"/>
            <a:gd name="connsiteX0" fmla="*/ 197422 w 197422"/>
            <a:gd name="connsiteY0" fmla="*/ 293637 h 784540"/>
            <a:gd name="connsiteX1" fmla="*/ 168114 w 197422"/>
            <a:gd name="connsiteY1" fmla="*/ 73829 h 784540"/>
            <a:gd name="connsiteX2" fmla="*/ 94845 w 197422"/>
            <a:gd name="connsiteY2" fmla="*/ 560 h 784540"/>
            <a:gd name="connsiteX3" fmla="*/ 14249 w 197422"/>
            <a:gd name="connsiteY3" fmla="*/ 44521 h 784540"/>
            <a:gd name="connsiteX4" fmla="*/ 6921 w 197422"/>
            <a:gd name="connsiteY4" fmla="*/ 125118 h 784540"/>
            <a:gd name="connsiteX5" fmla="*/ 87518 w 197422"/>
            <a:gd name="connsiteY5" fmla="*/ 249675 h 784540"/>
            <a:gd name="connsiteX6" fmla="*/ 102172 w 197422"/>
            <a:gd name="connsiteY6" fmla="*/ 784540 h 7845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97422" h="784540">
              <a:moveTo>
                <a:pt x="197422" y="293637"/>
              </a:moveTo>
              <a:cubicBezTo>
                <a:pt x="195590" y="206324"/>
                <a:pt x="185210" y="122675"/>
                <a:pt x="168114" y="73829"/>
              </a:cubicBezTo>
              <a:cubicBezTo>
                <a:pt x="151018" y="24983"/>
                <a:pt x="120489" y="5445"/>
                <a:pt x="94845" y="560"/>
              </a:cubicBezTo>
              <a:cubicBezTo>
                <a:pt x="69201" y="-4325"/>
                <a:pt x="28903" y="23761"/>
                <a:pt x="14249" y="44521"/>
              </a:cubicBezTo>
              <a:cubicBezTo>
                <a:pt x="-405" y="65281"/>
                <a:pt x="-5290" y="90926"/>
                <a:pt x="6921" y="125118"/>
              </a:cubicBezTo>
              <a:cubicBezTo>
                <a:pt x="19132" y="159310"/>
                <a:pt x="71643" y="139771"/>
                <a:pt x="87518" y="249675"/>
              </a:cubicBezTo>
              <a:cubicBezTo>
                <a:pt x="103393" y="359579"/>
                <a:pt x="102172" y="717376"/>
                <a:pt x="102172" y="78454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151086</xdr:colOff>
      <xdr:row>24</xdr:row>
      <xdr:rowOff>514992</xdr:rowOff>
    </xdr:from>
    <xdr:to>
      <xdr:col>3</xdr:col>
      <xdr:colOff>1478519</xdr:colOff>
      <xdr:row>24</xdr:row>
      <xdr:rowOff>1019284</xdr:rowOff>
    </xdr:to>
    <xdr:cxnSp macro="">
      <xdr:nvCxnSpPr>
        <xdr:cNvPr id="347" name="Прямая со стрелкой 34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88224" y="42530095"/>
          <a:ext cx="1327433" cy="504292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700263</xdr:colOff>
      <xdr:row>24</xdr:row>
      <xdr:rowOff>1371773</xdr:rowOff>
    </xdr:from>
    <xdr:to>
      <xdr:col>3</xdr:col>
      <xdr:colOff>772263</xdr:colOff>
      <xdr:row>24</xdr:row>
      <xdr:rowOff>1443773</xdr:rowOff>
    </xdr:to>
    <xdr:sp macro="" textlink="">
      <xdr:nvSpPr>
        <xdr:cNvPr id="348" name="Овал 34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6648108">
          <a:off x="2237401" y="4338687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734958</xdr:colOff>
      <xdr:row>24</xdr:row>
      <xdr:rowOff>735725</xdr:rowOff>
    </xdr:from>
    <xdr:to>
      <xdr:col>3</xdr:col>
      <xdr:colOff>734958</xdr:colOff>
      <xdr:row>24</xdr:row>
      <xdr:rowOff>1397458</xdr:rowOff>
    </xdr:to>
    <xdr:cxnSp macro="">
      <xdr:nvCxnSpPr>
        <xdr:cNvPr id="350" name="Прямая со стрелкой 34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72096" y="42750828"/>
          <a:ext cx="0" cy="661733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1039305</xdr:colOff>
      <xdr:row>23</xdr:row>
      <xdr:rowOff>705204</xdr:rowOff>
    </xdr:from>
    <xdr:to>
      <xdr:col>5</xdr:col>
      <xdr:colOff>15142</xdr:colOff>
      <xdr:row>23</xdr:row>
      <xdr:rowOff>841250</xdr:rowOff>
    </xdr:to>
    <xdr:sp macro="" textlink="">
      <xdr:nvSpPr>
        <xdr:cNvPr id="352" name="Скругленный прямоугольник 351"/>
        <xdr:cNvSpPr/>
      </xdr:nvSpPr>
      <xdr:spPr>
        <a:xfrm>
          <a:off x="4163505" y="41205504"/>
          <a:ext cx="356962" cy="136046"/>
        </a:xfrm>
        <a:prstGeom prst="round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endParaRPr lang="ru-RU" sz="1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968620</xdr:colOff>
      <xdr:row>23</xdr:row>
      <xdr:rowOff>200025</xdr:rowOff>
    </xdr:from>
    <xdr:to>
      <xdr:col>5</xdr:col>
      <xdr:colOff>85725</xdr:colOff>
      <xdr:row>23</xdr:row>
      <xdr:rowOff>663819</xdr:rowOff>
    </xdr:to>
    <xdr:sp macro="" textlink="">
      <xdr:nvSpPr>
        <xdr:cNvPr id="25" name="Равнобедренный треугольник 24"/>
        <xdr:cNvSpPr/>
      </xdr:nvSpPr>
      <xdr:spPr>
        <a:xfrm flipV="1">
          <a:off x="4092820" y="40700325"/>
          <a:ext cx="498230" cy="463794"/>
        </a:xfrm>
        <a:prstGeom prst="triangle">
          <a:avLst/>
        </a:prstGeom>
        <a:noFill/>
        <a:ln w="19050">
          <a:solidFill>
            <a:schemeClr val="tx1"/>
          </a:solidFill>
          <a:tailEnd type="none" w="med" len="lg"/>
        </a:ln>
        <a:effectLst>
          <a:softEdge rad="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1215720</xdr:colOff>
      <xdr:row>23</xdr:row>
      <xdr:rowOff>316078</xdr:rowOff>
    </xdr:from>
    <xdr:to>
      <xdr:col>4</xdr:col>
      <xdr:colOff>1215720</xdr:colOff>
      <xdr:row>23</xdr:row>
      <xdr:rowOff>967038</xdr:rowOff>
    </xdr:to>
    <xdr:cxnSp macro="">
      <xdr:nvCxnSpPr>
        <xdr:cNvPr id="353" name="Прямая со стрелкой 35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4339920" y="40816378"/>
          <a:ext cx="0" cy="650960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1112135</xdr:colOff>
      <xdr:row>7</xdr:row>
      <xdr:rowOff>1129473</xdr:rowOff>
    </xdr:from>
    <xdr:to>
      <xdr:col>3</xdr:col>
      <xdr:colOff>1197531</xdr:colOff>
      <xdr:row>7</xdr:row>
      <xdr:rowOff>1214869</xdr:rowOff>
    </xdr:to>
    <xdr:sp macro="" textlink="">
      <xdr:nvSpPr>
        <xdr:cNvPr id="354" name="Прямоугольник 353"/>
        <xdr:cNvSpPr/>
      </xdr:nvSpPr>
      <xdr:spPr>
        <a:xfrm rot="2400000">
          <a:off x="2658547" y="8121944"/>
          <a:ext cx="85396" cy="85396"/>
        </a:xfrm>
        <a:prstGeom prst="rect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/>
            <a:t>10</a:t>
          </a:r>
        </a:p>
      </xdr:txBody>
    </xdr:sp>
    <xdr:clientData/>
  </xdr:twoCellAnchor>
  <xdr:twoCellAnchor>
    <xdr:from>
      <xdr:col>4</xdr:col>
      <xdr:colOff>467591</xdr:colOff>
      <xdr:row>22</xdr:row>
      <xdr:rowOff>554182</xdr:rowOff>
    </xdr:from>
    <xdr:to>
      <xdr:col>5</xdr:col>
      <xdr:colOff>589316</xdr:colOff>
      <xdr:row>22</xdr:row>
      <xdr:rowOff>944707</xdr:rowOff>
    </xdr:to>
    <xdr:sp macro="" textlink="">
      <xdr:nvSpPr>
        <xdr:cNvPr id="339" name="Прямоугольник 338"/>
        <xdr:cNvSpPr/>
      </xdr:nvSpPr>
      <xdr:spPr>
        <a:xfrm>
          <a:off x="3602182" y="39554727"/>
          <a:ext cx="1507179" cy="390525"/>
        </a:xfrm>
        <a:prstGeom prst="rect">
          <a:avLst/>
        </a:prstGeom>
        <a:solidFill>
          <a:srgbClr val="0070C0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600" b="1">
              <a:solidFill>
                <a:schemeClr val="bg1"/>
              </a:solidFill>
            </a:rPr>
            <a:t>???</a:t>
          </a:r>
          <a:r>
            <a:rPr lang="ru-RU" sz="1600" b="1">
              <a:solidFill>
                <a:schemeClr val="bg1"/>
              </a:solidFill>
            </a:rPr>
            <a:t>         ?</a:t>
          </a:r>
        </a:p>
      </xdr:txBody>
    </xdr:sp>
    <xdr:clientData/>
  </xdr:twoCellAnchor>
  <xdr:twoCellAnchor>
    <xdr:from>
      <xdr:col>5</xdr:col>
      <xdr:colOff>323267</xdr:colOff>
      <xdr:row>22</xdr:row>
      <xdr:rowOff>672404</xdr:rowOff>
    </xdr:from>
    <xdr:to>
      <xdr:col>5</xdr:col>
      <xdr:colOff>481110</xdr:colOff>
      <xdr:row>22</xdr:row>
      <xdr:rowOff>859136</xdr:rowOff>
    </xdr:to>
    <xdr:sp macro="" textlink="">
      <xdr:nvSpPr>
        <xdr:cNvPr id="343" name="Стрелка вправо 342"/>
        <xdr:cNvSpPr/>
      </xdr:nvSpPr>
      <xdr:spPr>
        <a:xfrm>
          <a:off x="4843312" y="39672949"/>
          <a:ext cx="157843" cy="186732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874000</xdr:colOff>
      <xdr:row>22</xdr:row>
      <xdr:rowOff>896778</xdr:rowOff>
    </xdr:from>
    <xdr:to>
      <xdr:col>3</xdr:col>
      <xdr:colOff>946000</xdr:colOff>
      <xdr:row>22</xdr:row>
      <xdr:rowOff>968778</xdr:rowOff>
    </xdr:to>
    <xdr:sp macro="" textlink="">
      <xdr:nvSpPr>
        <xdr:cNvPr id="345" name="5-конечная звезда 34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32636" y="3989732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31</xdr:row>
      <xdr:rowOff>24545</xdr:rowOff>
    </xdr:from>
    <xdr:to>
      <xdr:col>3</xdr:col>
      <xdr:colOff>802515</xdr:colOff>
      <xdr:row>31</xdr:row>
      <xdr:rowOff>273844</xdr:rowOff>
    </xdr:to>
    <xdr:cxnSp macro="">
      <xdr:nvCxnSpPr>
        <xdr:cNvPr id="349" name="Прямая со стрелкой 34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0328" y="52721608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31</xdr:row>
      <xdr:rowOff>399217</xdr:rowOff>
    </xdr:from>
    <xdr:to>
      <xdr:col>3</xdr:col>
      <xdr:colOff>839475</xdr:colOff>
      <xdr:row>31</xdr:row>
      <xdr:rowOff>471217</xdr:rowOff>
    </xdr:to>
    <xdr:sp macro="" textlink="">
      <xdr:nvSpPr>
        <xdr:cNvPr id="351" name="Овал 35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5288" y="530962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31</xdr:row>
      <xdr:rowOff>273304</xdr:rowOff>
    </xdr:from>
    <xdr:to>
      <xdr:col>3</xdr:col>
      <xdr:colOff>802515</xdr:colOff>
      <xdr:row>31</xdr:row>
      <xdr:rowOff>440531</xdr:rowOff>
    </xdr:to>
    <xdr:cxnSp macro="">
      <xdr:nvCxnSpPr>
        <xdr:cNvPr id="355" name="Прямая со стрелкой 35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0328" y="52970367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727408</xdr:colOff>
      <xdr:row>35</xdr:row>
      <xdr:rowOff>82825</xdr:rowOff>
    </xdr:from>
    <xdr:to>
      <xdr:col>4</xdr:col>
      <xdr:colOff>1074046</xdr:colOff>
      <xdr:row>35</xdr:row>
      <xdr:rowOff>422412</xdr:rowOff>
    </xdr:to>
    <xdr:sp macro="" textlink="">
      <xdr:nvSpPr>
        <xdr:cNvPr id="369" name="Овал 368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849951" y="54781173"/>
          <a:ext cx="346638" cy="339587"/>
        </a:xfrm>
        <a:prstGeom prst="ellipse">
          <a:avLst/>
        </a:prstGeom>
        <a:solidFill>
          <a:schemeClr val="bg1"/>
        </a:solidFill>
        <a:ln w="41275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60</a:t>
          </a:r>
        </a:p>
      </xdr:txBody>
    </xdr:sp>
    <xdr:clientData/>
  </xdr:twoCellAnchor>
  <xdr:twoCellAnchor>
    <xdr:from>
      <xdr:col>3</xdr:col>
      <xdr:colOff>791600</xdr:colOff>
      <xdr:row>37</xdr:row>
      <xdr:rowOff>58615</xdr:rowOff>
    </xdr:from>
    <xdr:to>
      <xdr:col>3</xdr:col>
      <xdr:colOff>961258</xdr:colOff>
      <xdr:row>37</xdr:row>
      <xdr:rowOff>449098</xdr:rowOff>
    </xdr:to>
    <xdr:sp macro="" textlink="">
      <xdr:nvSpPr>
        <xdr:cNvPr id="9" name="Полилиния 8"/>
        <xdr:cNvSpPr/>
      </xdr:nvSpPr>
      <xdr:spPr>
        <a:xfrm>
          <a:off x="2330254" y="55787192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681404</xdr:colOff>
      <xdr:row>37</xdr:row>
      <xdr:rowOff>153299</xdr:rowOff>
    </xdr:from>
    <xdr:to>
      <xdr:col>3</xdr:col>
      <xdr:colOff>809464</xdr:colOff>
      <xdr:row>37</xdr:row>
      <xdr:rowOff>256290</xdr:rowOff>
    </xdr:to>
    <xdr:cxnSp macro="">
      <xdr:nvCxnSpPr>
        <xdr:cNvPr id="373" name="Прямая со стрелкой 37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H="1" flipV="1">
          <a:off x="2220058" y="55881876"/>
          <a:ext cx="128060" cy="102991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759421</xdr:colOff>
      <xdr:row>37</xdr:row>
      <xdr:rowOff>397630</xdr:rowOff>
    </xdr:from>
    <xdr:to>
      <xdr:col>3</xdr:col>
      <xdr:colOff>831421</xdr:colOff>
      <xdr:row>37</xdr:row>
      <xdr:rowOff>469630</xdr:rowOff>
    </xdr:to>
    <xdr:sp macro="" textlink="">
      <xdr:nvSpPr>
        <xdr:cNvPr id="374" name="Овал 37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8075" y="5612620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548170</xdr:colOff>
      <xdr:row>41</xdr:row>
      <xdr:rowOff>218379</xdr:rowOff>
    </xdr:from>
    <xdr:to>
      <xdr:col>3</xdr:col>
      <xdr:colOff>1045430</xdr:colOff>
      <xdr:row>41</xdr:row>
      <xdr:rowOff>327257</xdr:rowOff>
    </xdr:to>
    <xdr:grpSp>
      <xdr:nvGrpSpPr>
        <xdr:cNvPr id="387" name="Группа 386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pSpPr/>
      </xdr:nvGrpSpPr>
      <xdr:grpSpPr>
        <a:xfrm rot="5400000">
          <a:off x="2288773" y="48624100"/>
          <a:ext cx="108878" cy="497260"/>
          <a:chOff x="2276355" y="169337185"/>
          <a:chExt cx="182327" cy="1037451"/>
        </a:xfrm>
      </xdr:grpSpPr>
      <xdr:cxnSp macro="">
        <xdr:nvCxnSpPr>
          <xdr:cNvPr id="388" name="Прямая со стрелкой 387">
            <a:extLst>
              <a:ext uri="{FF2B5EF4-FFF2-40B4-BE49-F238E27FC236}">
                <a16:creationId xmlns:a16="http://schemas.microsoft.com/office/drawing/2014/main" id="{00000000-0008-0000-0600-000011000000}"/>
              </a:ext>
            </a:extLst>
          </xdr:cNvPr>
          <xdr:cNvCxnSpPr/>
        </xdr:nvCxnSpPr>
        <xdr:spPr>
          <a:xfrm>
            <a:off x="2311502" y="169341511"/>
            <a:ext cx="0" cy="1033125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89" name="Прямая со стрелкой 388"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CxnSpPr/>
        </xdr:nvCxnSpPr>
        <xdr:spPr>
          <a:xfrm>
            <a:off x="2423538" y="169337185"/>
            <a:ext cx="0" cy="1037451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0" name="Прямая со стрелкой 389">
            <a:extLst>
              <a:ext uri="{FF2B5EF4-FFF2-40B4-BE49-F238E27FC236}">
                <a16:creationId xmlns:a16="http://schemas.microsoft.com/office/drawing/2014/main" id="{00000000-0008-0000-0600-000013000000}"/>
              </a:ext>
            </a:extLst>
          </xdr:cNvPr>
          <xdr:cNvCxnSpPr/>
        </xdr:nvCxnSpPr>
        <xdr:spPr>
          <a:xfrm rot="5400000" flipV="1">
            <a:off x="2367519" y="16928577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1" name="Прямая со стрелкой 390">
            <a:extLst>
              <a:ext uri="{FF2B5EF4-FFF2-40B4-BE49-F238E27FC236}">
                <a16:creationId xmlns:a16="http://schemas.microsoft.com/office/drawing/2014/main" id="{00000000-0008-0000-0600-000014000000}"/>
              </a:ext>
            </a:extLst>
          </xdr:cNvPr>
          <xdr:cNvCxnSpPr/>
        </xdr:nvCxnSpPr>
        <xdr:spPr>
          <a:xfrm rot="5400000" flipV="1">
            <a:off x="2367519" y="16934793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2" name="Прямая со стрелкой 391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CxnSpPr/>
        </xdr:nvCxnSpPr>
        <xdr:spPr>
          <a:xfrm rot="5400000" flipV="1">
            <a:off x="2367519" y="16941009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3" name="Прямая со стрелкой 392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CxnSpPr/>
        </xdr:nvCxnSpPr>
        <xdr:spPr>
          <a:xfrm rot="5400000" flipV="1">
            <a:off x="2367519" y="16947225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4" name="Прямая со стрелкой 393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 rot="5400000" flipV="1">
            <a:off x="2367519" y="16953442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5" name="Прямая со стрелкой 394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rot="5400000" flipV="1">
            <a:off x="2367519" y="169596581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6" name="Прямая со стрелкой 395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rot="5400000" flipV="1">
            <a:off x="2367519" y="16965874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7" name="Прямая со стрелкой 396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rot="5400000" flipV="1">
            <a:off x="2367519" y="169720903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8" name="Прямая со стрелкой 397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CxnSpPr/>
        </xdr:nvCxnSpPr>
        <xdr:spPr>
          <a:xfrm rot="5400000" flipV="1">
            <a:off x="2367519" y="169783064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9" name="Прямая со стрелкой 398">
            <a:extLst>
              <a:ext uri="{FF2B5EF4-FFF2-40B4-BE49-F238E27FC236}">
                <a16:creationId xmlns:a16="http://schemas.microsoft.com/office/drawing/2014/main" id="{00000000-0008-0000-0600-00001C000000}"/>
              </a:ext>
            </a:extLst>
          </xdr:cNvPr>
          <xdr:cNvCxnSpPr/>
        </xdr:nvCxnSpPr>
        <xdr:spPr>
          <a:xfrm rot="5400000" flipV="1">
            <a:off x="2367519" y="169845225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00" name="Прямая со стрелкой 399">
            <a:extLst>
              <a:ext uri="{FF2B5EF4-FFF2-40B4-BE49-F238E27FC236}">
                <a16:creationId xmlns:a16="http://schemas.microsoft.com/office/drawing/2014/main" id="{00000000-0008-0000-0600-00001D000000}"/>
              </a:ext>
            </a:extLst>
          </xdr:cNvPr>
          <xdr:cNvCxnSpPr/>
        </xdr:nvCxnSpPr>
        <xdr:spPr>
          <a:xfrm rot="5400000" flipV="1">
            <a:off x="2367519" y="169907386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01" name="Прямая со стрелкой 400">
            <a:extLst>
              <a:ext uri="{FF2B5EF4-FFF2-40B4-BE49-F238E27FC236}">
                <a16:creationId xmlns:a16="http://schemas.microsoft.com/office/drawing/2014/main" id="{00000000-0008-0000-0600-00001E000000}"/>
              </a:ext>
            </a:extLst>
          </xdr:cNvPr>
          <xdr:cNvCxnSpPr/>
        </xdr:nvCxnSpPr>
        <xdr:spPr>
          <a:xfrm rot="5400000" flipV="1">
            <a:off x="2367519" y="169969547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02" name="Прямая со стрелкой 401">
            <a:extLst>
              <a:ext uri="{FF2B5EF4-FFF2-40B4-BE49-F238E27FC236}">
                <a16:creationId xmlns:a16="http://schemas.microsoft.com/office/drawing/2014/main" id="{00000000-0008-0000-0600-00001F000000}"/>
              </a:ext>
            </a:extLst>
          </xdr:cNvPr>
          <xdr:cNvCxnSpPr/>
        </xdr:nvCxnSpPr>
        <xdr:spPr>
          <a:xfrm rot="5400000" flipV="1">
            <a:off x="2367519" y="170031708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03" name="Прямая со стрелкой 402">
            <a:extLst>
              <a:ext uri="{FF2B5EF4-FFF2-40B4-BE49-F238E27FC236}">
                <a16:creationId xmlns:a16="http://schemas.microsoft.com/office/drawing/2014/main" id="{00000000-0008-0000-0600-000020000000}"/>
              </a:ext>
            </a:extLst>
          </xdr:cNvPr>
          <xdr:cNvCxnSpPr/>
        </xdr:nvCxnSpPr>
        <xdr:spPr>
          <a:xfrm rot="5400000" flipV="1">
            <a:off x="2367519" y="170093869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04" name="Прямая со стрелкой 403">
            <a:extLst>
              <a:ext uri="{FF2B5EF4-FFF2-40B4-BE49-F238E27FC236}">
                <a16:creationId xmlns:a16="http://schemas.microsoft.com/office/drawing/2014/main" id="{00000000-0008-0000-0600-000021000000}"/>
              </a:ext>
            </a:extLst>
          </xdr:cNvPr>
          <xdr:cNvCxnSpPr/>
        </xdr:nvCxnSpPr>
        <xdr:spPr>
          <a:xfrm rot="5400000" flipV="1">
            <a:off x="2367519" y="170156030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05" name="Прямая со стрелкой 404">
            <a:extLst>
              <a:ext uri="{FF2B5EF4-FFF2-40B4-BE49-F238E27FC236}">
                <a16:creationId xmlns:a16="http://schemas.microsoft.com/office/drawing/2014/main" id="{00000000-0008-0000-0600-000022000000}"/>
              </a:ext>
            </a:extLst>
          </xdr:cNvPr>
          <xdr:cNvCxnSpPr/>
        </xdr:nvCxnSpPr>
        <xdr:spPr>
          <a:xfrm rot="5400000" flipV="1">
            <a:off x="2367519" y="170218192"/>
            <a:ext cx="0" cy="182327"/>
          </a:xfrm>
          <a:prstGeom prst="straightConnector1">
            <a:avLst/>
          </a:prstGeom>
          <a:ln w="19050">
            <a:solidFill>
              <a:schemeClr val="bg1">
                <a:lumMod val="50000"/>
              </a:schemeClr>
            </a:solidFill>
            <a:tailEnd type="non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1072226</xdr:colOff>
      <xdr:row>57</xdr:row>
      <xdr:rowOff>485391</xdr:rowOff>
    </xdr:from>
    <xdr:to>
      <xdr:col>3</xdr:col>
      <xdr:colOff>1123605</xdr:colOff>
      <xdr:row>57</xdr:row>
      <xdr:rowOff>865870</xdr:rowOff>
    </xdr:to>
    <xdr:grpSp>
      <xdr:nvGrpSpPr>
        <xdr:cNvPr id="436" name="Группа 435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pSpPr/>
      </xdr:nvGrpSpPr>
      <xdr:grpSpPr>
        <a:xfrm rot="-5400000">
          <a:off x="2454088" y="62416765"/>
          <a:ext cx="380479" cy="51379"/>
          <a:chOff x="744834" y="5046016"/>
          <a:chExt cx="380479" cy="51379"/>
        </a:xfrm>
      </xdr:grpSpPr>
      <xdr:cxnSp macro="">
        <xdr:nvCxnSpPr>
          <xdr:cNvPr id="437" name="Прямая со стрелкой 436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438" name="Овал 437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439" name="Овал 438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440" name="Прямая со стрелкой 439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1262857</xdr:colOff>
      <xdr:row>35</xdr:row>
      <xdr:rowOff>121315</xdr:rowOff>
    </xdr:from>
    <xdr:to>
      <xdr:col>5</xdr:col>
      <xdr:colOff>935937</xdr:colOff>
      <xdr:row>35</xdr:row>
      <xdr:rowOff>398540</xdr:rowOff>
    </xdr:to>
    <xdr:sp macro="" textlink="">
      <xdr:nvSpPr>
        <xdr:cNvPr id="441" name="Прямоугольник 440"/>
        <xdr:cNvSpPr/>
      </xdr:nvSpPr>
      <xdr:spPr>
        <a:xfrm>
          <a:off x="4385400" y="54819663"/>
          <a:ext cx="1056276" cy="2772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3</xdr:col>
      <xdr:colOff>767475</xdr:colOff>
      <xdr:row>32</xdr:row>
      <xdr:rowOff>399217</xdr:rowOff>
    </xdr:from>
    <xdr:to>
      <xdr:col>3</xdr:col>
      <xdr:colOff>839475</xdr:colOff>
      <xdr:row>32</xdr:row>
      <xdr:rowOff>471217</xdr:rowOff>
    </xdr:to>
    <xdr:sp macro="" textlink="">
      <xdr:nvSpPr>
        <xdr:cNvPr id="450" name="Овал 44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8040" y="5307660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812040</xdr:colOff>
      <xdr:row>32</xdr:row>
      <xdr:rowOff>273304</xdr:rowOff>
    </xdr:from>
    <xdr:to>
      <xdr:col>3</xdr:col>
      <xdr:colOff>812040</xdr:colOff>
      <xdr:row>32</xdr:row>
      <xdr:rowOff>440531</xdr:rowOff>
    </xdr:to>
    <xdr:cxnSp macro="">
      <xdr:nvCxnSpPr>
        <xdr:cNvPr id="451" name="Прямая со стрелкой 45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5090" y="53470429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33</xdr:row>
      <xdr:rowOff>24545</xdr:rowOff>
    </xdr:from>
    <xdr:to>
      <xdr:col>3</xdr:col>
      <xdr:colOff>802515</xdr:colOff>
      <xdr:row>33</xdr:row>
      <xdr:rowOff>273844</xdr:rowOff>
    </xdr:to>
    <xdr:cxnSp macro="">
      <xdr:nvCxnSpPr>
        <xdr:cNvPr id="452" name="Прямая со стрелкой 45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2701936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33</xdr:row>
      <xdr:rowOff>399217</xdr:rowOff>
    </xdr:from>
    <xdr:to>
      <xdr:col>3</xdr:col>
      <xdr:colOff>839475</xdr:colOff>
      <xdr:row>33</xdr:row>
      <xdr:rowOff>471217</xdr:rowOff>
    </xdr:to>
    <xdr:sp macro="" textlink="">
      <xdr:nvSpPr>
        <xdr:cNvPr id="453" name="Овал 45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8040" y="5307660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33</xdr:row>
      <xdr:rowOff>273304</xdr:rowOff>
    </xdr:from>
    <xdr:to>
      <xdr:col>3</xdr:col>
      <xdr:colOff>802515</xdr:colOff>
      <xdr:row>33</xdr:row>
      <xdr:rowOff>440531</xdr:rowOff>
    </xdr:to>
    <xdr:cxnSp macro="">
      <xdr:nvCxnSpPr>
        <xdr:cNvPr id="454" name="Прямая со стрелкой 45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2950695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34</xdr:row>
      <xdr:rowOff>24545</xdr:rowOff>
    </xdr:from>
    <xdr:to>
      <xdr:col>3</xdr:col>
      <xdr:colOff>802515</xdr:colOff>
      <xdr:row>34</xdr:row>
      <xdr:rowOff>273844</xdr:rowOff>
    </xdr:to>
    <xdr:cxnSp macro="">
      <xdr:nvCxnSpPr>
        <xdr:cNvPr id="455" name="Прямая со стрелкой 45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3207175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34</xdr:row>
      <xdr:rowOff>399217</xdr:rowOff>
    </xdr:from>
    <xdr:to>
      <xdr:col>3</xdr:col>
      <xdr:colOff>839475</xdr:colOff>
      <xdr:row>34</xdr:row>
      <xdr:rowOff>471217</xdr:rowOff>
    </xdr:to>
    <xdr:sp macro="" textlink="">
      <xdr:nvSpPr>
        <xdr:cNvPr id="456" name="Овал 45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8040" y="5358184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34</xdr:row>
      <xdr:rowOff>273304</xdr:rowOff>
    </xdr:from>
    <xdr:to>
      <xdr:col>3</xdr:col>
      <xdr:colOff>802515</xdr:colOff>
      <xdr:row>34</xdr:row>
      <xdr:rowOff>440531</xdr:rowOff>
    </xdr:to>
    <xdr:cxnSp macro="">
      <xdr:nvCxnSpPr>
        <xdr:cNvPr id="457" name="Прямая со стрелкой 45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3455934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35</xdr:row>
      <xdr:rowOff>24546</xdr:rowOff>
    </xdr:from>
    <xdr:to>
      <xdr:col>3</xdr:col>
      <xdr:colOff>802515</xdr:colOff>
      <xdr:row>35</xdr:row>
      <xdr:rowOff>441157</xdr:rowOff>
    </xdr:to>
    <xdr:cxnSp macro="">
      <xdr:nvCxnSpPr>
        <xdr:cNvPr id="458" name="Прямая со стрелкой 45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6568" y="54748178"/>
          <a:ext cx="0" cy="416611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35</xdr:row>
      <xdr:rowOff>399217</xdr:rowOff>
    </xdr:from>
    <xdr:to>
      <xdr:col>3</xdr:col>
      <xdr:colOff>839475</xdr:colOff>
      <xdr:row>35</xdr:row>
      <xdr:rowOff>471217</xdr:rowOff>
    </xdr:to>
    <xdr:sp macro="" textlink="">
      <xdr:nvSpPr>
        <xdr:cNvPr id="459" name="Овал 45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8040" y="545923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36</xdr:row>
      <xdr:rowOff>24545</xdr:rowOff>
    </xdr:from>
    <xdr:to>
      <xdr:col>3</xdr:col>
      <xdr:colOff>802515</xdr:colOff>
      <xdr:row>36</xdr:row>
      <xdr:rowOff>273844</xdr:rowOff>
    </xdr:to>
    <xdr:cxnSp macro="">
      <xdr:nvCxnSpPr>
        <xdr:cNvPr id="464" name="Прямая со стрелкой 46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169" y="53730891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36</xdr:row>
      <xdr:rowOff>399217</xdr:rowOff>
    </xdr:from>
    <xdr:to>
      <xdr:col>3</xdr:col>
      <xdr:colOff>839475</xdr:colOff>
      <xdr:row>36</xdr:row>
      <xdr:rowOff>471217</xdr:rowOff>
    </xdr:to>
    <xdr:sp macro="" textlink="">
      <xdr:nvSpPr>
        <xdr:cNvPr id="465" name="Овал 46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6129" y="5410556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36</xdr:row>
      <xdr:rowOff>273304</xdr:rowOff>
    </xdr:from>
    <xdr:to>
      <xdr:col>3</xdr:col>
      <xdr:colOff>802515</xdr:colOff>
      <xdr:row>36</xdr:row>
      <xdr:rowOff>440531</xdr:rowOff>
    </xdr:to>
    <xdr:cxnSp macro="">
      <xdr:nvCxnSpPr>
        <xdr:cNvPr id="466" name="Прямая со стрелкой 46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169" y="53979650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38</xdr:row>
      <xdr:rowOff>24546</xdr:rowOff>
    </xdr:from>
    <xdr:to>
      <xdr:col>3</xdr:col>
      <xdr:colOff>802515</xdr:colOff>
      <xdr:row>38</xdr:row>
      <xdr:rowOff>441157</xdr:rowOff>
    </xdr:to>
    <xdr:cxnSp macro="">
      <xdr:nvCxnSpPr>
        <xdr:cNvPr id="469" name="Прямая со стрелкой 46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0328" y="54745671"/>
          <a:ext cx="0" cy="416611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38</xdr:row>
      <xdr:rowOff>399217</xdr:rowOff>
    </xdr:from>
    <xdr:to>
      <xdr:col>3</xdr:col>
      <xdr:colOff>839475</xdr:colOff>
      <xdr:row>38</xdr:row>
      <xdr:rowOff>471217</xdr:rowOff>
    </xdr:to>
    <xdr:sp macro="" textlink="">
      <xdr:nvSpPr>
        <xdr:cNvPr id="470" name="Овал 46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5288" y="551203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1050374</xdr:colOff>
      <xdr:row>38</xdr:row>
      <xdr:rowOff>99335</xdr:rowOff>
    </xdr:from>
    <xdr:to>
      <xdr:col>5</xdr:col>
      <xdr:colOff>723454</xdr:colOff>
      <xdr:row>38</xdr:row>
      <xdr:rowOff>376560</xdr:rowOff>
    </xdr:to>
    <xdr:sp macro="" textlink="">
      <xdr:nvSpPr>
        <xdr:cNvPr id="471" name="Прямоугольник 470"/>
        <xdr:cNvSpPr/>
      </xdr:nvSpPr>
      <xdr:spPr>
        <a:xfrm>
          <a:off x="4181718" y="55832491"/>
          <a:ext cx="1054205" cy="2772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1061724</xdr:colOff>
      <xdr:row>38</xdr:row>
      <xdr:rowOff>106973</xdr:rowOff>
    </xdr:from>
    <xdr:to>
      <xdr:col>5</xdr:col>
      <xdr:colOff>718038</xdr:colOff>
      <xdr:row>38</xdr:row>
      <xdr:rowOff>365682</xdr:rowOff>
    </xdr:to>
    <xdr:cxnSp macro="">
      <xdr:nvCxnSpPr>
        <xdr:cNvPr id="472" name="Прямая соединительная линия 471"/>
        <xdr:cNvCxnSpPr/>
      </xdr:nvCxnSpPr>
      <xdr:spPr>
        <a:xfrm flipV="1">
          <a:off x="4193068" y="55840129"/>
          <a:ext cx="1037439" cy="25870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514925</xdr:colOff>
      <xdr:row>38</xdr:row>
      <xdr:rowOff>60845</xdr:rowOff>
    </xdr:from>
    <xdr:to>
      <xdr:col>4</xdr:col>
      <xdr:colOff>861563</xdr:colOff>
      <xdr:row>38</xdr:row>
      <xdr:rowOff>400432</xdr:rowOff>
    </xdr:to>
    <xdr:sp macro="" textlink="">
      <xdr:nvSpPr>
        <xdr:cNvPr id="473" name="Овал 472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646269" y="55794001"/>
          <a:ext cx="346638" cy="339587"/>
        </a:xfrm>
        <a:prstGeom prst="ellipse">
          <a:avLst/>
        </a:prstGeom>
        <a:solidFill>
          <a:schemeClr val="bg1"/>
        </a:solidFill>
        <a:ln w="41275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</a:p>
      </xdr:txBody>
    </xdr:sp>
    <xdr:clientData/>
  </xdr:twoCellAnchor>
  <xdr:twoCellAnchor>
    <xdr:from>
      <xdr:col>3</xdr:col>
      <xdr:colOff>802515</xdr:colOff>
      <xdr:row>39</xdr:row>
      <xdr:rowOff>24545</xdr:rowOff>
    </xdr:from>
    <xdr:to>
      <xdr:col>3</xdr:col>
      <xdr:colOff>802515</xdr:colOff>
      <xdr:row>39</xdr:row>
      <xdr:rowOff>273844</xdr:rowOff>
    </xdr:to>
    <xdr:cxnSp macro="">
      <xdr:nvCxnSpPr>
        <xdr:cNvPr id="474" name="Прямая со стрелкой 47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0328" y="54239654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39</xdr:row>
      <xdr:rowOff>399217</xdr:rowOff>
    </xdr:from>
    <xdr:to>
      <xdr:col>3</xdr:col>
      <xdr:colOff>839475</xdr:colOff>
      <xdr:row>39</xdr:row>
      <xdr:rowOff>471217</xdr:rowOff>
    </xdr:to>
    <xdr:sp macro="" textlink="">
      <xdr:nvSpPr>
        <xdr:cNvPr id="475" name="Овал 47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5288" y="546143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39</xdr:row>
      <xdr:rowOff>273304</xdr:rowOff>
    </xdr:from>
    <xdr:to>
      <xdr:col>3</xdr:col>
      <xdr:colOff>802515</xdr:colOff>
      <xdr:row>39</xdr:row>
      <xdr:rowOff>440531</xdr:rowOff>
    </xdr:to>
    <xdr:cxnSp macro="">
      <xdr:nvCxnSpPr>
        <xdr:cNvPr id="476" name="Прямая со стрелкой 47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50328" y="54488413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1045270</xdr:colOff>
      <xdr:row>41</xdr:row>
      <xdr:rowOff>49696</xdr:rowOff>
    </xdr:from>
    <xdr:ext cx="387628" cy="389076"/>
    <xdr:pic>
      <xdr:nvPicPr>
        <xdr:cNvPr id="477" name="Рисунок 476" descr="Картинки по запросу знак стоп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813" y="57274239"/>
          <a:ext cx="387628" cy="389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802515</xdr:colOff>
      <xdr:row>41</xdr:row>
      <xdr:rowOff>24546</xdr:rowOff>
    </xdr:from>
    <xdr:to>
      <xdr:col>3</xdr:col>
      <xdr:colOff>802515</xdr:colOff>
      <xdr:row>41</xdr:row>
      <xdr:rowOff>441157</xdr:rowOff>
    </xdr:to>
    <xdr:cxnSp macro="">
      <xdr:nvCxnSpPr>
        <xdr:cNvPr id="478" name="Прямая со стрелкой 47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4722894"/>
          <a:ext cx="0" cy="416611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41</xdr:row>
      <xdr:rowOff>399217</xdr:rowOff>
    </xdr:from>
    <xdr:to>
      <xdr:col>3</xdr:col>
      <xdr:colOff>839475</xdr:colOff>
      <xdr:row>41</xdr:row>
      <xdr:rowOff>471217</xdr:rowOff>
    </xdr:to>
    <xdr:sp macro="" textlink="">
      <xdr:nvSpPr>
        <xdr:cNvPr id="479" name="Овал 47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8040" y="5509756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42</xdr:row>
      <xdr:rowOff>24545</xdr:rowOff>
    </xdr:from>
    <xdr:to>
      <xdr:col>3</xdr:col>
      <xdr:colOff>802515</xdr:colOff>
      <xdr:row>42</xdr:row>
      <xdr:rowOff>273844</xdr:rowOff>
    </xdr:to>
    <xdr:cxnSp macro="">
      <xdr:nvCxnSpPr>
        <xdr:cNvPr id="480" name="Прямая со стрелкой 47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5228132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42</xdr:row>
      <xdr:rowOff>399217</xdr:rowOff>
    </xdr:from>
    <xdr:to>
      <xdr:col>3</xdr:col>
      <xdr:colOff>839475</xdr:colOff>
      <xdr:row>42</xdr:row>
      <xdr:rowOff>471217</xdr:rowOff>
    </xdr:to>
    <xdr:sp macro="" textlink="">
      <xdr:nvSpPr>
        <xdr:cNvPr id="481" name="Овал 48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8040" y="5560280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42</xdr:row>
      <xdr:rowOff>273304</xdr:rowOff>
    </xdr:from>
    <xdr:to>
      <xdr:col>3</xdr:col>
      <xdr:colOff>802515</xdr:colOff>
      <xdr:row>42</xdr:row>
      <xdr:rowOff>440531</xdr:rowOff>
    </xdr:to>
    <xdr:cxnSp macro="">
      <xdr:nvCxnSpPr>
        <xdr:cNvPr id="482" name="Прямая со стрелкой 48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5476891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727408</xdr:colOff>
      <xdr:row>43</xdr:row>
      <xdr:rowOff>82825</xdr:rowOff>
    </xdr:from>
    <xdr:to>
      <xdr:col>4</xdr:col>
      <xdr:colOff>1074046</xdr:colOff>
      <xdr:row>43</xdr:row>
      <xdr:rowOff>422412</xdr:rowOff>
    </xdr:to>
    <xdr:sp macro="" textlink="">
      <xdr:nvSpPr>
        <xdr:cNvPr id="483" name="Овал 482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849951" y="54781173"/>
          <a:ext cx="346638" cy="339587"/>
        </a:xfrm>
        <a:prstGeom prst="ellipse">
          <a:avLst/>
        </a:prstGeom>
        <a:solidFill>
          <a:schemeClr val="bg1"/>
        </a:solidFill>
        <a:ln w="41275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60</a:t>
          </a:r>
        </a:p>
      </xdr:txBody>
    </xdr:sp>
    <xdr:clientData/>
  </xdr:twoCellAnchor>
  <xdr:twoCellAnchor>
    <xdr:from>
      <xdr:col>4</xdr:col>
      <xdr:colOff>1262857</xdr:colOff>
      <xdr:row>43</xdr:row>
      <xdr:rowOff>121315</xdr:rowOff>
    </xdr:from>
    <xdr:to>
      <xdr:col>5</xdr:col>
      <xdr:colOff>935937</xdr:colOff>
      <xdr:row>43</xdr:row>
      <xdr:rowOff>398540</xdr:rowOff>
    </xdr:to>
    <xdr:sp macro="" textlink="">
      <xdr:nvSpPr>
        <xdr:cNvPr id="484" name="Прямоугольник 483"/>
        <xdr:cNvSpPr/>
      </xdr:nvSpPr>
      <xdr:spPr>
        <a:xfrm>
          <a:off x="4385400" y="54819663"/>
          <a:ext cx="1056276" cy="2772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3</xdr:col>
      <xdr:colOff>802515</xdr:colOff>
      <xdr:row>43</xdr:row>
      <xdr:rowOff>24546</xdr:rowOff>
    </xdr:from>
    <xdr:to>
      <xdr:col>3</xdr:col>
      <xdr:colOff>802515</xdr:colOff>
      <xdr:row>43</xdr:row>
      <xdr:rowOff>441157</xdr:rowOff>
    </xdr:to>
    <xdr:cxnSp macro="">
      <xdr:nvCxnSpPr>
        <xdr:cNvPr id="485" name="Прямая со стрелкой 48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6238611"/>
          <a:ext cx="0" cy="416611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43</xdr:row>
      <xdr:rowOff>399217</xdr:rowOff>
    </xdr:from>
    <xdr:to>
      <xdr:col>3</xdr:col>
      <xdr:colOff>839475</xdr:colOff>
      <xdr:row>43</xdr:row>
      <xdr:rowOff>471217</xdr:rowOff>
    </xdr:to>
    <xdr:sp macro="" textlink="">
      <xdr:nvSpPr>
        <xdr:cNvPr id="486" name="Овал 48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8040" y="566132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44</xdr:row>
      <xdr:rowOff>24545</xdr:rowOff>
    </xdr:from>
    <xdr:to>
      <xdr:col>3</xdr:col>
      <xdr:colOff>802515</xdr:colOff>
      <xdr:row>44</xdr:row>
      <xdr:rowOff>273844</xdr:rowOff>
    </xdr:to>
    <xdr:cxnSp macro="">
      <xdr:nvCxnSpPr>
        <xdr:cNvPr id="487" name="Прямая со стрелкой 48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6743849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44</xdr:row>
      <xdr:rowOff>399217</xdr:rowOff>
    </xdr:from>
    <xdr:to>
      <xdr:col>3</xdr:col>
      <xdr:colOff>839475</xdr:colOff>
      <xdr:row>44</xdr:row>
      <xdr:rowOff>471217</xdr:rowOff>
    </xdr:to>
    <xdr:sp macro="" textlink="">
      <xdr:nvSpPr>
        <xdr:cNvPr id="488" name="Овал 48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8040" y="5711852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44</xdr:row>
      <xdr:rowOff>273304</xdr:rowOff>
    </xdr:from>
    <xdr:to>
      <xdr:col>3</xdr:col>
      <xdr:colOff>802515</xdr:colOff>
      <xdr:row>44</xdr:row>
      <xdr:rowOff>440531</xdr:rowOff>
    </xdr:to>
    <xdr:cxnSp macro="">
      <xdr:nvCxnSpPr>
        <xdr:cNvPr id="489" name="Прямая со стрелкой 48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6992608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45</xdr:row>
      <xdr:rowOff>24546</xdr:rowOff>
    </xdr:from>
    <xdr:to>
      <xdr:col>3</xdr:col>
      <xdr:colOff>802515</xdr:colOff>
      <xdr:row>45</xdr:row>
      <xdr:rowOff>441157</xdr:rowOff>
    </xdr:to>
    <xdr:cxnSp macro="">
      <xdr:nvCxnSpPr>
        <xdr:cNvPr id="490" name="Прямая со стрелкой 48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080" y="56238611"/>
          <a:ext cx="0" cy="416611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45</xdr:row>
      <xdr:rowOff>399217</xdr:rowOff>
    </xdr:from>
    <xdr:to>
      <xdr:col>3</xdr:col>
      <xdr:colOff>839475</xdr:colOff>
      <xdr:row>45</xdr:row>
      <xdr:rowOff>471217</xdr:rowOff>
    </xdr:to>
    <xdr:sp macro="" textlink="">
      <xdr:nvSpPr>
        <xdr:cNvPr id="491" name="Овал 49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8040" y="566132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1050374</xdr:colOff>
      <xdr:row>45</xdr:row>
      <xdr:rowOff>99335</xdr:rowOff>
    </xdr:from>
    <xdr:to>
      <xdr:col>5</xdr:col>
      <xdr:colOff>723454</xdr:colOff>
      <xdr:row>45</xdr:row>
      <xdr:rowOff>376560</xdr:rowOff>
    </xdr:to>
    <xdr:sp macro="" textlink="">
      <xdr:nvSpPr>
        <xdr:cNvPr id="492" name="Прямоугольник 491"/>
        <xdr:cNvSpPr/>
      </xdr:nvSpPr>
      <xdr:spPr>
        <a:xfrm>
          <a:off x="4172917" y="56313400"/>
          <a:ext cx="1056276" cy="2772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solid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???</a:t>
          </a:r>
        </a:p>
      </xdr:txBody>
    </xdr:sp>
    <xdr:clientData/>
  </xdr:twoCellAnchor>
  <xdr:twoCellAnchor>
    <xdr:from>
      <xdr:col>4</xdr:col>
      <xdr:colOff>1061724</xdr:colOff>
      <xdr:row>45</xdr:row>
      <xdr:rowOff>106973</xdr:rowOff>
    </xdr:from>
    <xdr:to>
      <xdr:col>5</xdr:col>
      <xdr:colOff>718038</xdr:colOff>
      <xdr:row>45</xdr:row>
      <xdr:rowOff>365682</xdr:rowOff>
    </xdr:to>
    <xdr:cxnSp macro="">
      <xdr:nvCxnSpPr>
        <xdr:cNvPr id="493" name="Прямая соединительная линия 492"/>
        <xdr:cNvCxnSpPr/>
      </xdr:nvCxnSpPr>
      <xdr:spPr>
        <a:xfrm flipV="1">
          <a:off x="4184267" y="56321038"/>
          <a:ext cx="1039510" cy="258709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514925</xdr:colOff>
      <xdr:row>45</xdr:row>
      <xdr:rowOff>60845</xdr:rowOff>
    </xdr:from>
    <xdr:to>
      <xdr:col>4</xdr:col>
      <xdr:colOff>861563</xdr:colOff>
      <xdr:row>45</xdr:row>
      <xdr:rowOff>400432</xdr:rowOff>
    </xdr:to>
    <xdr:sp macro="" textlink="">
      <xdr:nvSpPr>
        <xdr:cNvPr id="494" name="Овал 493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/>
      </xdr:nvSpPr>
      <xdr:spPr>
        <a:xfrm>
          <a:off x="3637468" y="56274910"/>
          <a:ext cx="346638" cy="339587"/>
        </a:xfrm>
        <a:prstGeom prst="ellipse">
          <a:avLst/>
        </a:prstGeom>
        <a:solidFill>
          <a:schemeClr val="bg1"/>
        </a:solidFill>
        <a:ln w="41275">
          <a:solidFill>
            <a:srgbClr val="FF0000"/>
          </a:solidFill>
          <a:prstDash val="sys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ru-RU" sz="11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90</a:t>
          </a:r>
        </a:p>
      </xdr:txBody>
    </xdr:sp>
    <xdr:clientData/>
  </xdr:twoCellAnchor>
  <xdr:twoCellAnchor>
    <xdr:from>
      <xdr:col>3</xdr:col>
      <xdr:colOff>802515</xdr:colOff>
      <xdr:row>46</xdr:row>
      <xdr:rowOff>24545</xdr:rowOff>
    </xdr:from>
    <xdr:to>
      <xdr:col>3</xdr:col>
      <xdr:colOff>802515</xdr:colOff>
      <xdr:row>46</xdr:row>
      <xdr:rowOff>273844</xdr:rowOff>
    </xdr:to>
    <xdr:cxnSp macro="">
      <xdr:nvCxnSpPr>
        <xdr:cNvPr id="495" name="Прямая со стрелкой 49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726495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46</xdr:row>
      <xdr:rowOff>399217</xdr:rowOff>
    </xdr:from>
    <xdr:to>
      <xdr:col>3</xdr:col>
      <xdr:colOff>839475</xdr:colOff>
      <xdr:row>46</xdr:row>
      <xdr:rowOff>471217</xdr:rowOff>
    </xdr:to>
    <xdr:sp macro="" textlink="">
      <xdr:nvSpPr>
        <xdr:cNvPr id="496" name="Овал 49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41011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46</xdr:row>
      <xdr:rowOff>273304</xdr:rowOff>
    </xdr:from>
    <xdr:to>
      <xdr:col>3</xdr:col>
      <xdr:colOff>802515</xdr:colOff>
      <xdr:row>46</xdr:row>
      <xdr:rowOff>440531</xdr:rowOff>
    </xdr:to>
    <xdr:cxnSp macro="">
      <xdr:nvCxnSpPr>
        <xdr:cNvPr id="497" name="Прямая со стрелкой 49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975254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47</xdr:row>
      <xdr:rowOff>24545</xdr:rowOff>
    </xdr:from>
    <xdr:to>
      <xdr:col>3</xdr:col>
      <xdr:colOff>802515</xdr:colOff>
      <xdr:row>47</xdr:row>
      <xdr:rowOff>273844</xdr:rowOff>
    </xdr:to>
    <xdr:cxnSp macro="">
      <xdr:nvCxnSpPr>
        <xdr:cNvPr id="498" name="Прямая со стрелкой 49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4231320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47</xdr:row>
      <xdr:rowOff>399217</xdr:rowOff>
    </xdr:from>
    <xdr:to>
      <xdr:col>3</xdr:col>
      <xdr:colOff>839475</xdr:colOff>
      <xdr:row>47</xdr:row>
      <xdr:rowOff>471217</xdr:rowOff>
    </xdr:to>
    <xdr:sp macro="" textlink="">
      <xdr:nvSpPr>
        <xdr:cNvPr id="499" name="Овал 498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46059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47</xdr:row>
      <xdr:rowOff>273304</xdr:rowOff>
    </xdr:from>
    <xdr:to>
      <xdr:col>3</xdr:col>
      <xdr:colOff>802515</xdr:colOff>
      <xdr:row>47</xdr:row>
      <xdr:rowOff>440531</xdr:rowOff>
    </xdr:to>
    <xdr:cxnSp macro="">
      <xdr:nvCxnSpPr>
        <xdr:cNvPr id="500" name="Прямая со стрелкой 49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4480079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48</xdr:row>
      <xdr:rowOff>24545</xdr:rowOff>
    </xdr:from>
    <xdr:to>
      <xdr:col>3</xdr:col>
      <xdr:colOff>802515</xdr:colOff>
      <xdr:row>48</xdr:row>
      <xdr:rowOff>273844</xdr:rowOff>
    </xdr:to>
    <xdr:cxnSp macro="">
      <xdr:nvCxnSpPr>
        <xdr:cNvPr id="501" name="Прямая со стрелкой 50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726495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48</xdr:row>
      <xdr:rowOff>399217</xdr:rowOff>
    </xdr:from>
    <xdr:to>
      <xdr:col>3</xdr:col>
      <xdr:colOff>839475</xdr:colOff>
      <xdr:row>48</xdr:row>
      <xdr:rowOff>471217</xdr:rowOff>
    </xdr:to>
    <xdr:sp macro="" textlink="">
      <xdr:nvSpPr>
        <xdr:cNvPr id="502" name="Овал 50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41011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48</xdr:row>
      <xdr:rowOff>273304</xdr:rowOff>
    </xdr:from>
    <xdr:to>
      <xdr:col>3</xdr:col>
      <xdr:colOff>802515</xdr:colOff>
      <xdr:row>48</xdr:row>
      <xdr:rowOff>440531</xdr:rowOff>
    </xdr:to>
    <xdr:cxnSp macro="">
      <xdr:nvCxnSpPr>
        <xdr:cNvPr id="503" name="Прямая со стрелкой 50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975254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50</xdr:row>
      <xdr:rowOff>24545</xdr:rowOff>
    </xdr:from>
    <xdr:to>
      <xdr:col>3</xdr:col>
      <xdr:colOff>802515</xdr:colOff>
      <xdr:row>50</xdr:row>
      <xdr:rowOff>273844</xdr:rowOff>
    </xdr:to>
    <xdr:cxnSp macro="">
      <xdr:nvCxnSpPr>
        <xdr:cNvPr id="507" name="Прямая со стрелкой 50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726495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50</xdr:row>
      <xdr:rowOff>399217</xdr:rowOff>
    </xdr:from>
    <xdr:to>
      <xdr:col>3</xdr:col>
      <xdr:colOff>839475</xdr:colOff>
      <xdr:row>50</xdr:row>
      <xdr:rowOff>471217</xdr:rowOff>
    </xdr:to>
    <xdr:sp macro="" textlink="">
      <xdr:nvSpPr>
        <xdr:cNvPr id="508" name="Овал 50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41011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50</xdr:row>
      <xdr:rowOff>273304</xdr:rowOff>
    </xdr:from>
    <xdr:to>
      <xdr:col>3</xdr:col>
      <xdr:colOff>802515</xdr:colOff>
      <xdr:row>50</xdr:row>
      <xdr:rowOff>440531</xdr:rowOff>
    </xdr:to>
    <xdr:cxnSp macro="">
      <xdr:nvCxnSpPr>
        <xdr:cNvPr id="509" name="Прямая со стрелкой 50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975254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802515</xdr:colOff>
      <xdr:row>51</xdr:row>
      <xdr:rowOff>24545</xdr:rowOff>
    </xdr:from>
    <xdr:to>
      <xdr:col>3</xdr:col>
      <xdr:colOff>802515</xdr:colOff>
      <xdr:row>51</xdr:row>
      <xdr:rowOff>273844</xdr:rowOff>
    </xdr:to>
    <xdr:cxnSp macro="">
      <xdr:nvCxnSpPr>
        <xdr:cNvPr id="510" name="Прямая со стрелкой 50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4231320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51</xdr:row>
      <xdr:rowOff>399217</xdr:rowOff>
    </xdr:from>
    <xdr:to>
      <xdr:col>3</xdr:col>
      <xdr:colOff>839475</xdr:colOff>
      <xdr:row>51</xdr:row>
      <xdr:rowOff>471217</xdr:rowOff>
    </xdr:to>
    <xdr:sp macro="" textlink="">
      <xdr:nvSpPr>
        <xdr:cNvPr id="511" name="Овал 51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46059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51</xdr:row>
      <xdr:rowOff>273304</xdr:rowOff>
    </xdr:from>
    <xdr:to>
      <xdr:col>3</xdr:col>
      <xdr:colOff>802515</xdr:colOff>
      <xdr:row>51</xdr:row>
      <xdr:rowOff>440531</xdr:rowOff>
    </xdr:to>
    <xdr:cxnSp macro="">
      <xdr:nvCxnSpPr>
        <xdr:cNvPr id="512" name="Прямая со стрелкой 51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4480079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729343</xdr:colOff>
      <xdr:row>4</xdr:row>
      <xdr:rowOff>2324099</xdr:rowOff>
    </xdr:from>
    <xdr:to>
      <xdr:col>3</xdr:col>
      <xdr:colOff>873343</xdr:colOff>
      <xdr:row>4</xdr:row>
      <xdr:rowOff>2468099</xdr:rowOff>
    </xdr:to>
    <xdr:sp macro="" textlink="">
      <xdr:nvSpPr>
        <xdr:cNvPr id="514" name="5-конечная звезда 513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275114" y="3194956"/>
          <a:ext cx="144000" cy="144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729343</xdr:colOff>
      <xdr:row>4</xdr:row>
      <xdr:rowOff>2051956</xdr:rowOff>
    </xdr:from>
    <xdr:to>
      <xdr:col>3</xdr:col>
      <xdr:colOff>873343</xdr:colOff>
      <xdr:row>4</xdr:row>
      <xdr:rowOff>2195956</xdr:rowOff>
    </xdr:to>
    <xdr:sp macro="" textlink="">
      <xdr:nvSpPr>
        <xdr:cNvPr id="515" name="5-конечная звезда 514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275114" y="2922813"/>
          <a:ext cx="144000" cy="144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1249456</xdr:colOff>
      <xdr:row>28</xdr:row>
      <xdr:rowOff>100294</xdr:rowOff>
    </xdr:from>
    <xdr:to>
      <xdr:col>4</xdr:col>
      <xdr:colOff>1249456</xdr:colOff>
      <xdr:row>28</xdr:row>
      <xdr:rowOff>1400735</xdr:rowOff>
    </xdr:to>
    <xdr:cxnSp macro="">
      <xdr:nvCxnSpPr>
        <xdr:cNvPr id="516" name="Прямая соединительная линия 515"/>
        <xdr:cNvCxnSpPr/>
      </xdr:nvCxnSpPr>
      <xdr:spPr>
        <a:xfrm>
          <a:off x="4375897" y="48240765"/>
          <a:ext cx="0" cy="1300441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641183</xdr:colOff>
      <xdr:row>32</xdr:row>
      <xdr:rowOff>33618</xdr:rowOff>
    </xdr:from>
    <xdr:to>
      <xdr:col>3</xdr:col>
      <xdr:colOff>805974</xdr:colOff>
      <xdr:row>32</xdr:row>
      <xdr:rowOff>277222</xdr:rowOff>
    </xdr:to>
    <xdr:sp macro="" textlink="">
      <xdr:nvSpPr>
        <xdr:cNvPr id="360" name="Полилиния 359"/>
        <xdr:cNvSpPr/>
      </xdr:nvSpPr>
      <xdr:spPr>
        <a:xfrm flipH="1">
          <a:off x="2188996" y="53236696"/>
          <a:ext cx="164791" cy="243604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  <a:gd name="connsiteX0" fmla="*/ 0 w 515471"/>
            <a:gd name="connsiteY0" fmla="*/ 762000 h 762000"/>
            <a:gd name="connsiteX1" fmla="*/ 112059 w 515471"/>
            <a:gd name="connsiteY1" fmla="*/ 515471 h 762000"/>
            <a:gd name="connsiteX2" fmla="*/ 336177 w 515471"/>
            <a:gd name="connsiteY2" fmla="*/ 212912 h 762000"/>
            <a:gd name="connsiteX3" fmla="*/ 515471 w 515471"/>
            <a:gd name="connsiteY3" fmla="*/ 0 h 762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15471" h="762000">
              <a:moveTo>
                <a:pt x="0" y="762000"/>
              </a:moveTo>
              <a:cubicBezTo>
                <a:pt x="20544" y="644338"/>
                <a:pt x="56030" y="606986"/>
                <a:pt x="112059" y="515471"/>
              </a:cubicBezTo>
              <a:cubicBezTo>
                <a:pt x="168088" y="423956"/>
                <a:pt x="268942" y="298824"/>
                <a:pt x="336177" y="212912"/>
              </a:cubicBezTo>
              <a:cubicBezTo>
                <a:pt x="403412" y="127000"/>
                <a:pt x="459441" y="63500"/>
                <a:pt x="515471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632985</xdr:colOff>
      <xdr:row>40</xdr:row>
      <xdr:rowOff>43961</xdr:rowOff>
    </xdr:from>
    <xdr:to>
      <xdr:col>3</xdr:col>
      <xdr:colOff>802643</xdr:colOff>
      <xdr:row>40</xdr:row>
      <xdr:rowOff>434444</xdr:rowOff>
    </xdr:to>
    <xdr:sp macro="" textlink="">
      <xdr:nvSpPr>
        <xdr:cNvPr id="364" name="Полилиния 363"/>
        <xdr:cNvSpPr/>
      </xdr:nvSpPr>
      <xdr:spPr>
        <a:xfrm flipH="1">
          <a:off x="2171639" y="57289211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762000</xdr:colOff>
      <xdr:row>40</xdr:row>
      <xdr:rowOff>382976</xdr:rowOff>
    </xdr:from>
    <xdr:to>
      <xdr:col>3</xdr:col>
      <xdr:colOff>834000</xdr:colOff>
      <xdr:row>40</xdr:row>
      <xdr:rowOff>454976</xdr:rowOff>
    </xdr:to>
    <xdr:sp macro="" textlink="">
      <xdr:nvSpPr>
        <xdr:cNvPr id="365" name="Овал 36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0654" y="5762822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842596</xdr:colOff>
      <xdr:row>37</xdr:row>
      <xdr:rowOff>211917</xdr:rowOff>
    </xdr:from>
    <xdr:to>
      <xdr:col>3</xdr:col>
      <xdr:colOff>937846</xdr:colOff>
      <xdr:row>37</xdr:row>
      <xdr:rowOff>307731</xdr:rowOff>
    </xdr:to>
    <xdr:cxnSp macro="">
      <xdr:nvCxnSpPr>
        <xdr:cNvPr id="366" name="Прямая со стрелкой 36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H="1" flipV="1">
          <a:off x="2381250" y="55940494"/>
          <a:ext cx="95250" cy="95814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806565</xdr:colOff>
      <xdr:row>49</xdr:row>
      <xdr:rowOff>28575</xdr:rowOff>
    </xdr:from>
    <xdr:to>
      <xdr:col>3</xdr:col>
      <xdr:colOff>806565</xdr:colOff>
      <xdr:row>49</xdr:row>
      <xdr:rowOff>277874</xdr:rowOff>
    </xdr:to>
    <xdr:cxnSp macro="">
      <xdr:nvCxnSpPr>
        <xdr:cNvPr id="372" name="Прямая со стрелкой 37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9615" y="61807725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771525</xdr:colOff>
      <xdr:row>49</xdr:row>
      <xdr:rowOff>403247</xdr:rowOff>
    </xdr:from>
    <xdr:to>
      <xdr:col>3</xdr:col>
      <xdr:colOff>843525</xdr:colOff>
      <xdr:row>49</xdr:row>
      <xdr:rowOff>475247</xdr:rowOff>
    </xdr:to>
    <xdr:sp macro="" textlink="">
      <xdr:nvSpPr>
        <xdr:cNvPr id="375" name="Овал 37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4575" y="6218239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806565</xdr:colOff>
      <xdr:row>49</xdr:row>
      <xdr:rowOff>277334</xdr:rowOff>
    </xdr:from>
    <xdr:to>
      <xdr:col>3</xdr:col>
      <xdr:colOff>806565</xdr:colOff>
      <xdr:row>49</xdr:row>
      <xdr:rowOff>444561</xdr:rowOff>
    </xdr:to>
    <xdr:cxnSp macro="">
      <xdr:nvCxnSpPr>
        <xdr:cNvPr id="376" name="Прямая со стрелкой 37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9615" y="62056484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885825</xdr:colOff>
      <xdr:row>35</xdr:row>
      <xdr:rowOff>238125</xdr:rowOff>
    </xdr:from>
    <xdr:to>
      <xdr:col>3</xdr:col>
      <xdr:colOff>957825</xdr:colOff>
      <xdr:row>35</xdr:row>
      <xdr:rowOff>310125</xdr:rowOff>
    </xdr:to>
    <xdr:sp macro="" textlink="">
      <xdr:nvSpPr>
        <xdr:cNvPr id="377" name="5-конечная звезда 37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28875" y="5494972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647700</xdr:colOff>
      <xdr:row>38</xdr:row>
      <xdr:rowOff>228600</xdr:rowOff>
    </xdr:from>
    <xdr:to>
      <xdr:col>3</xdr:col>
      <xdr:colOff>719700</xdr:colOff>
      <xdr:row>38</xdr:row>
      <xdr:rowOff>300600</xdr:rowOff>
    </xdr:to>
    <xdr:sp macro="" textlink="">
      <xdr:nvSpPr>
        <xdr:cNvPr id="378" name="5-конечная звезда 377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190750" y="564546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885825</xdr:colOff>
      <xdr:row>43</xdr:row>
      <xdr:rowOff>257175</xdr:rowOff>
    </xdr:from>
    <xdr:to>
      <xdr:col>3</xdr:col>
      <xdr:colOff>957825</xdr:colOff>
      <xdr:row>43</xdr:row>
      <xdr:rowOff>329175</xdr:rowOff>
    </xdr:to>
    <xdr:sp macro="" textlink="">
      <xdr:nvSpPr>
        <xdr:cNvPr id="379" name="5-конечная звезда 378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28875" y="590073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638175</xdr:colOff>
      <xdr:row>45</xdr:row>
      <xdr:rowOff>238125</xdr:rowOff>
    </xdr:from>
    <xdr:to>
      <xdr:col>3</xdr:col>
      <xdr:colOff>710175</xdr:colOff>
      <xdr:row>45</xdr:row>
      <xdr:rowOff>310125</xdr:rowOff>
    </xdr:to>
    <xdr:sp macro="" textlink="">
      <xdr:nvSpPr>
        <xdr:cNvPr id="380" name="5-конечная звезда 37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181225" y="5999797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273742</xdr:colOff>
      <xdr:row>12</xdr:row>
      <xdr:rowOff>1047192</xdr:rowOff>
    </xdr:from>
    <xdr:to>
      <xdr:col>5</xdr:col>
      <xdr:colOff>1098176</xdr:colOff>
      <xdr:row>12</xdr:row>
      <xdr:rowOff>1047192</xdr:rowOff>
    </xdr:to>
    <xdr:cxnSp macro="">
      <xdr:nvCxnSpPr>
        <xdr:cNvPr id="424" name="Прямая со стрелкой 423"/>
        <xdr:cNvCxnSpPr/>
      </xdr:nvCxnSpPr>
      <xdr:spPr>
        <a:xfrm>
          <a:off x="273742" y="14639927"/>
          <a:ext cx="5329199" cy="0"/>
        </a:xfrm>
        <a:prstGeom prst="straightConnector1">
          <a:avLst/>
        </a:prstGeom>
        <a:ln w="6350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181916</xdr:colOff>
      <xdr:row>12</xdr:row>
      <xdr:rowOff>945587</xdr:rowOff>
    </xdr:from>
    <xdr:to>
      <xdr:col>0</xdr:col>
      <xdr:colOff>354712</xdr:colOff>
      <xdr:row>12</xdr:row>
      <xdr:rowOff>1125587</xdr:rowOff>
    </xdr:to>
    <xdr:sp macro="" textlink="">
      <xdr:nvSpPr>
        <xdr:cNvPr id="425" name="Овал 424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181916" y="14538322"/>
          <a:ext cx="172796" cy="180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</xdr:col>
      <xdr:colOff>319058</xdr:colOff>
      <xdr:row>12</xdr:row>
      <xdr:rowOff>318121</xdr:rowOff>
    </xdr:from>
    <xdr:to>
      <xdr:col>1</xdr:col>
      <xdr:colOff>319058</xdr:colOff>
      <xdr:row>12</xdr:row>
      <xdr:rowOff>1043110</xdr:rowOff>
    </xdr:to>
    <xdr:cxnSp macro="">
      <xdr:nvCxnSpPr>
        <xdr:cNvPr id="426" name="Прямая со стрелкой 42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700058" y="13910856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431732</xdr:colOff>
      <xdr:row>12</xdr:row>
      <xdr:rowOff>1053206</xdr:rowOff>
    </xdr:from>
    <xdr:to>
      <xdr:col>2</xdr:col>
      <xdr:colOff>431732</xdr:colOff>
      <xdr:row>12</xdr:row>
      <xdr:rowOff>1778195</xdr:rowOff>
    </xdr:to>
    <xdr:cxnSp macro="">
      <xdr:nvCxnSpPr>
        <xdr:cNvPr id="427" name="Прямая со стрелкой 42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395438" y="14645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544406</xdr:colOff>
      <xdr:row>12</xdr:row>
      <xdr:rowOff>318121</xdr:rowOff>
    </xdr:from>
    <xdr:to>
      <xdr:col>3</xdr:col>
      <xdr:colOff>544406</xdr:colOff>
      <xdr:row>12</xdr:row>
      <xdr:rowOff>1043110</xdr:rowOff>
    </xdr:to>
    <xdr:cxnSp macro="">
      <xdr:nvCxnSpPr>
        <xdr:cNvPr id="428" name="Прямая со стрелкой 42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090818" y="13910856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892096</xdr:colOff>
      <xdr:row>12</xdr:row>
      <xdr:rowOff>298750</xdr:rowOff>
    </xdr:from>
    <xdr:to>
      <xdr:col>3</xdr:col>
      <xdr:colOff>892096</xdr:colOff>
      <xdr:row>12</xdr:row>
      <xdr:rowOff>1043110</xdr:rowOff>
    </xdr:to>
    <xdr:grpSp>
      <xdr:nvGrpSpPr>
        <xdr:cNvPr id="429" name="Группа 428"/>
        <xdr:cNvGrpSpPr/>
      </xdr:nvGrpSpPr>
      <xdr:grpSpPr>
        <a:xfrm>
          <a:off x="2438508" y="13891485"/>
          <a:ext cx="0" cy="744360"/>
          <a:chOff x="8929660" y="24481651"/>
          <a:chExt cx="0" cy="744360"/>
        </a:xfrm>
      </xdr:grpSpPr>
      <xdr:cxnSp macro="">
        <xdr:nvCxnSpPr>
          <xdr:cNvPr id="430" name="Прямая со стрелкой 429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solidFill>
              <a:schemeClr val="tx1"/>
            </a:solidFill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1" name="Прямая со стрелкой 430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solidFill>
              <a:schemeClr val="tx1"/>
            </a:solidFill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7447</xdr:colOff>
      <xdr:row>12</xdr:row>
      <xdr:rowOff>302882</xdr:rowOff>
    </xdr:from>
    <xdr:to>
      <xdr:col>4</xdr:col>
      <xdr:colOff>7447</xdr:colOff>
      <xdr:row>12</xdr:row>
      <xdr:rowOff>1791503</xdr:rowOff>
    </xdr:to>
    <xdr:cxnSp macro="">
      <xdr:nvCxnSpPr>
        <xdr:cNvPr id="432" name="Прямая со стрелкой 43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3133888" y="13895617"/>
          <a:ext cx="0" cy="1488621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355137</xdr:colOff>
      <xdr:row>12</xdr:row>
      <xdr:rowOff>318121</xdr:rowOff>
    </xdr:from>
    <xdr:to>
      <xdr:col>4</xdr:col>
      <xdr:colOff>355137</xdr:colOff>
      <xdr:row>12</xdr:row>
      <xdr:rowOff>1043110</xdr:rowOff>
    </xdr:to>
    <xdr:cxnSp macro="">
      <xdr:nvCxnSpPr>
        <xdr:cNvPr id="433" name="Прямая со стрелкой 43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3481578" y="13910856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1050517</xdr:colOff>
      <xdr:row>12</xdr:row>
      <xdr:rowOff>1053206</xdr:rowOff>
    </xdr:from>
    <xdr:to>
      <xdr:col>4</xdr:col>
      <xdr:colOff>1050517</xdr:colOff>
      <xdr:row>12</xdr:row>
      <xdr:rowOff>1778195</xdr:rowOff>
    </xdr:to>
    <xdr:cxnSp macro="">
      <xdr:nvCxnSpPr>
        <xdr:cNvPr id="434" name="Прямая со стрелкой 43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4176958" y="14645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367571</xdr:colOff>
      <xdr:row>12</xdr:row>
      <xdr:rowOff>1053206</xdr:rowOff>
    </xdr:from>
    <xdr:to>
      <xdr:col>5</xdr:col>
      <xdr:colOff>367571</xdr:colOff>
      <xdr:row>12</xdr:row>
      <xdr:rowOff>1778195</xdr:rowOff>
    </xdr:to>
    <xdr:cxnSp macro="">
      <xdr:nvCxnSpPr>
        <xdr:cNvPr id="435" name="Прямая со стрелкой 43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4872336" y="14645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799723</xdr:colOff>
      <xdr:row>13</xdr:row>
      <xdr:rowOff>194856</xdr:rowOff>
    </xdr:from>
    <xdr:to>
      <xdr:col>3</xdr:col>
      <xdr:colOff>799723</xdr:colOff>
      <xdr:row>13</xdr:row>
      <xdr:rowOff>919845</xdr:rowOff>
    </xdr:to>
    <xdr:cxnSp macro="">
      <xdr:nvCxnSpPr>
        <xdr:cNvPr id="442" name="Прямая со стрелкой 44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6135" y="15815856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1139773</xdr:colOff>
      <xdr:row>13</xdr:row>
      <xdr:rowOff>179617</xdr:rowOff>
    </xdr:from>
    <xdr:to>
      <xdr:col>3</xdr:col>
      <xdr:colOff>1139773</xdr:colOff>
      <xdr:row>13</xdr:row>
      <xdr:rowOff>1668238</xdr:rowOff>
    </xdr:to>
    <xdr:cxnSp macro="">
      <xdr:nvCxnSpPr>
        <xdr:cNvPr id="443" name="Прямая со стрелкой 44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686185" y="15800617"/>
          <a:ext cx="0" cy="1488621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239844</xdr:colOff>
      <xdr:row>13</xdr:row>
      <xdr:rowOff>929941</xdr:rowOff>
    </xdr:from>
    <xdr:to>
      <xdr:col>4</xdr:col>
      <xdr:colOff>239844</xdr:colOff>
      <xdr:row>13</xdr:row>
      <xdr:rowOff>1674301</xdr:rowOff>
    </xdr:to>
    <xdr:grpSp>
      <xdr:nvGrpSpPr>
        <xdr:cNvPr id="444" name="Группа 443"/>
        <xdr:cNvGrpSpPr/>
      </xdr:nvGrpSpPr>
      <xdr:grpSpPr>
        <a:xfrm flipV="1">
          <a:off x="3366285" y="16550941"/>
          <a:ext cx="0" cy="744360"/>
          <a:chOff x="8929660" y="24481651"/>
          <a:chExt cx="0" cy="744360"/>
        </a:xfrm>
      </xdr:grpSpPr>
      <xdr:cxnSp macro="">
        <xdr:nvCxnSpPr>
          <xdr:cNvPr id="445" name="Прямая со стрелкой 444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solidFill>
              <a:schemeClr val="tx1"/>
            </a:solidFill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46" name="Прямая со стрелкой 445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solidFill>
              <a:schemeClr val="tx1"/>
            </a:solidFill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579894</xdr:colOff>
      <xdr:row>13</xdr:row>
      <xdr:rowOff>194856</xdr:rowOff>
    </xdr:from>
    <xdr:to>
      <xdr:col>4</xdr:col>
      <xdr:colOff>579894</xdr:colOff>
      <xdr:row>13</xdr:row>
      <xdr:rowOff>919845</xdr:rowOff>
    </xdr:to>
    <xdr:cxnSp macro="">
      <xdr:nvCxnSpPr>
        <xdr:cNvPr id="447" name="Прямая со стрелкой 44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3706335" y="15815856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1259994</xdr:colOff>
      <xdr:row>13</xdr:row>
      <xdr:rowOff>929941</xdr:rowOff>
    </xdr:from>
    <xdr:to>
      <xdr:col>4</xdr:col>
      <xdr:colOff>1259994</xdr:colOff>
      <xdr:row>13</xdr:row>
      <xdr:rowOff>1654930</xdr:rowOff>
    </xdr:to>
    <xdr:cxnSp macro="">
      <xdr:nvCxnSpPr>
        <xdr:cNvPr id="448" name="Прямая со стрелкой 44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4386435" y="16550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561766</xdr:colOff>
      <xdr:row>13</xdr:row>
      <xdr:rowOff>194856</xdr:rowOff>
    </xdr:from>
    <xdr:to>
      <xdr:col>5</xdr:col>
      <xdr:colOff>561766</xdr:colOff>
      <xdr:row>13</xdr:row>
      <xdr:rowOff>919845</xdr:rowOff>
    </xdr:to>
    <xdr:cxnSp macro="">
      <xdr:nvCxnSpPr>
        <xdr:cNvPr id="449" name="Прямая со стрелкой 44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5066531" y="15815856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119623</xdr:colOff>
      <xdr:row>13</xdr:row>
      <xdr:rowOff>929941</xdr:rowOff>
    </xdr:from>
    <xdr:to>
      <xdr:col>3</xdr:col>
      <xdr:colOff>119623</xdr:colOff>
      <xdr:row>13</xdr:row>
      <xdr:rowOff>1654930</xdr:rowOff>
    </xdr:to>
    <xdr:cxnSp macro="">
      <xdr:nvCxnSpPr>
        <xdr:cNvPr id="460" name="Прямая со стрелкой 45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666035" y="16550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84042</xdr:colOff>
      <xdr:row>12</xdr:row>
      <xdr:rowOff>318121</xdr:rowOff>
    </xdr:from>
    <xdr:to>
      <xdr:col>2</xdr:col>
      <xdr:colOff>84042</xdr:colOff>
      <xdr:row>12</xdr:row>
      <xdr:rowOff>1043110</xdr:rowOff>
    </xdr:to>
    <xdr:cxnSp macro="">
      <xdr:nvCxnSpPr>
        <xdr:cNvPr id="356" name="Прямая со стрелкой 35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047748" y="13910856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196716</xdr:colOff>
      <xdr:row>12</xdr:row>
      <xdr:rowOff>1053206</xdr:rowOff>
    </xdr:from>
    <xdr:to>
      <xdr:col>3</xdr:col>
      <xdr:colOff>196716</xdr:colOff>
      <xdr:row>12</xdr:row>
      <xdr:rowOff>1778195</xdr:rowOff>
    </xdr:to>
    <xdr:cxnSp macro="">
      <xdr:nvCxnSpPr>
        <xdr:cNvPr id="357" name="Прямая со стрелкой 35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743128" y="14645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1239786</xdr:colOff>
      <xdr:row>12</xdr:row>
      <xdr:rowOff>298750</xdr:rowOff>
    </xdr:from>
    <xdr:to>
      <xdr:col>3</xdr:col>
      <xdr:colOff>1239786</xdr:colOff>
      <xdr:row>12</xdr:row>
      <xdr:rowOff>1043110</xdr:rowOff>
    </xdr:to>
    <xdr:grpSp>
      <xdr:nvGrpSpPr>
        <xdr:cNvPr id="358" name="Группа 357"/>
        <xdr:cNvGrpSpPr/>
      </xdr:nvGrpSpPr>
      <xdr:grpSpPr>
        <a:xfrm>
          <a:off x="2786198" y="13891485"/>
          <a:ext cx="0" cy="744360"/>
          <a:chOff x="8929660" y="24481651"/>
          <a:chExt cx="0" cy="744360"/>
        </a:xfrm>
      </xdr:grpSpPr>
      <xdr:cxnSp macro="">
        <xdr:nvCxnSpPr>
          <xdr:cNvPr id="359" name="Прямая со стрелкой 358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solidFill>
              <a:schemeClr val="tx1"/>
            </a:solidFill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61" name="Прямая со стрелкой 360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solidFill>
              <a:schemeClr val="tx1"/>
            </a:solidFill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702827</xdr:colOff>
      <xdr:row>12</xdr:row>
      <xdr:rowOff>318121</xdr:rowOff>
    </xdr:from>
    <xdr:to>
      <xdr:col>4</xdr:col>
      <xdr:colOff>702827</xdr:colOff>
      <xdr:row>12</xdr:row>
      <xdr:rowOff>1043110</xdr:rowOff>
    </xdr:to>
    <xdr:cxnSp macro="">
      <xdr:nvCxnSpPr>
        <xdr:cNvPr id="362" name="Прямая со стрелкой 36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3829268" y="13910856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19883</xdr:colOff>
      <xdr:row>12</xdr:row>
      <xdr:rowOff>1053206</xdr:rowOff>
    </xdr:from>
    <xdr:to>
      <xdr:col>5</xdr:col>
      <xdr:colOff>19883</xdr:colOff>
      <xdr:row>12</xdr:row>
      <xdr:rowOff>1778195</xdr:rowOff>
    </xdr:to>
    <xdr:cxnSp macro="">
      <xdr:nvCxnSpPr>
        <xdr:cNvPr id="363" name="Прямая со стрелкой 36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4524648" y="14645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362279</xdr:colOff>
      <xdr:row>13</xdr:row>
      <xdr:rowOff>929941</xdr:rowOff>
    </xdr:from>
    <xdr:to>
      <xdr:col>2</xdr:col>
      <xdr:colOff>362279</xdr:colOff>
      <xdr:row>13</xdr:row>
      <xdr:rowOff>1654930</xdr:rowOff>
    </xdr:to>
    <xdr:cxnSp macro="">
      <xdr:nvCxnSpPr>
        <xdr:cNvPr id="367" name="Прямая со стрелкой 36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1325985" y="16550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459673</xdr:colOff>
      <xdr:row>13</xdr:row>
      <xdr:rowOff>929941</xdr:rowOff>
    </xdr:from>
    <xdr:to>
      <xdr:col>3</xdr:col>
      <xdr:colOff>459673</xdr:colOff>
      <xdr:row>13</xdr:row>
      <xdr:rowOff>1654930</xdr:rowOff>
    </xdr:to>
    <xdr:cxnSp macro="">
      <xdr:nvCxnSpPr>
        <xdr:cNvPr id="368" name="Прямая со стрелкой 367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006085" y="16550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1479823</xdr:colOff>
      <xdr:row>13</xdr:row>
      <xdr:rowOff>929941</xdr:rowOff>
    </xdr:from>
    <xdr:to>
      <xdr:col>3</xdr:col>
      <xdr:colOff>1479823</xdr:colOff>
      <xdr:row>13</xdr:row>
      <xdr:rowOff>1674301</xdr:rowOff>
    </xdr:to>
    <xdr:grpSp>
      <xdr:nvGrpSpPr>
        <xdr:cNvPr id="370" name="Группа 369"/>
        <xdr:cNvGrpSpPr/>
      </xdr:nvGrpSpPr>
      <xdr:grpSpPr>
        <a:xfrm flipV="1">
          <a:off x="3026235" y="16550941"/>
          <a:ext cx="0" cy="744360"/>
          <a:chOff x="8929660" y="24481651"/>
          <a:chExt cx="0" cy="744360"/>
        </a:xfrm>
      </xdr:grpSpPr>
      <xdr:cxnSp macro="">
        <xdr:nvCxnSpPr>
          <xdr:cNvPr id="371" name="Прямая со стрелкой 370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841200"/>
            <a:ext cx="0" cy="384811"/>
          </a:xfrm>
          <a:prstGeom prst="straightConnector1">
            <a:avLst/>
          </a:prstGeom>
          <a:ln w="38100">
            <a:solidFill>
              <a:schemeClr val="tx1"/>
            </a:solidFill>
            <a:prstDash val="solid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81" name="Прямая со стрелкой 380">
            <a:extLst>
              <a:ext uri="{FF2B5EF4-FFF2-40B4-BE49-F238E27FC236}">
                <a16:creationId xmlns:a16="http://schemas.microsoft.com/office/drawing/2014/main" id="{00000000-0008-0000-0900-000033020000}"/>
              </a:ext>
            </a:extLst>
          </xdr:cNvPr>
          <xdr:cNvCxnSpPr/>
        </xdr:nvCxnSpPr>
        <xdr:spPr>
          <a:xfrm flipV="1">
            <a:off x="8929660" y="24481651"/>
            <a:ext cx="0" cy="348663"/>
          </a:xfrm>
          <a:prstGeom prst="straightConnector1">
            <a:avLst/>
          </a:prstGeom>
          <a:ln w="38100">
            <a:solidFill>
              <a:schemeClr val="tx1"/>
            </a:solidFill>
            <a:prstDash val="sysDot"/>
            <a:headEnd type="none"/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919944</xdr:colOff>
      <xdr:row>13</xdr:row>
      <xdr:rowOff>194856</xdr:rowOff>
    </xdr:from>
    <xdr:to>
      <xdr:col>4</xdr:col>
      <xdr:colOff>919944</xdr:colOff>
      <xdr:row>13</xdr:row>
      <xdr:rowOff>919845</xdr:rowOff>
    </xdr:to>
    <xdr:cxnSp macro="">
      <xdr:nvCxnSpPr>
        <xdr:cNvPr id="382" name="Прямая со стрелкой 38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4046385" y="15815856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221720</xdr:colOff>
      <xdr:row>13</xdr:row>
      <xdr:rowOff>929941</xdr:rowOff>
    </xdr:from>
    <xdr:to>
      <xdr:col>5</xdr:col>
      <xdr:colOff>221720</xdr:colOff>
      <xdr:row>13</xdr:row>
      <xdr:rowOff>1654930</xdr:rowOff>
    </xdr:to>
    <xdr:cxnSp macro="">
      <xdr:nvCxnSpPr>
        <xdr:cNvPr id="383" name="Прямая со стрелкой 38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4726485" y="16550941"/>
          <a:ext cx="0" cy="724989"/>
        </a:xfrm>
        <a:prstGeom prst="straightConnector1">
          <a:avLst/>
        </a:prstGeom>
        <a:ln w="38100">
          <a:solidFill>
            <a:schemeClr val="tx1"/>
          </a:solidFill>
          <a:prstDash val="solid"/>
          <a:headEnd type="none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358588</xdr:colOff>
      <xdr:row>13</xdr:row>
      <xdr:rowOff>935133</xdr:rowOff>
    </xdr:from>
    <xdr:to>
      <xdr:col>6</xdr:col>
      <xdr:colOff>414618</xdr:colOff>
      <xdr:row>13</xdr:row>
      <xdr:rowOff>935133</xdr:rowOff>
    </xdr:to>
    <xdr:cxnSp macro="">
      <xdr:nvCxnSpPr>
        <xdr:cNvPr id="384" name="Прямая со стрелкой 383"/>
        <xdr:cNvCxnSpPr/>
      </xdr:nvCxnSpPr>
      <xdr:spPr>
        <a:xfrm>
          <a:off x="739588" y="16556133"/>
          <a:ext cx="5289177" cy="0"/>
        </a:xfrm>
        <a:prstGeom prst="straightConnector1">
          <a:avLst/>
        </a:prstGeom>
        <a:ln w="63500">
          <a:solidFill>
            <a:schemeClr val="tx1"/>
          </a:solidFill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257735</xdr:colOff>
      <xdr:row>12</xdr:row>
      <xdr:rowOff>1042147</xdr:rowOff>
    </xdr:from>
    <xdr:to>
      <xdr:col>6</xdr:col>
      <xdr:colOff>403412</xdr:colOff>
      <xdr:row>13</xdr:row>
      <xdr:rowOff>930088</xdr:rowOff>
    </xdr:to>
    <xdr:sp macro="" textlink="">
      <xdr:nvSpPr>
        <xdr:cNvPr id="13" name="Полилиния 12"/>
        <xdr:cNvSpPr/>
      </xdr:nvSpPr>
      <xdr:spPr>
        <a:xfrm>
          <a:off x="257735" y="14634882"/>
          <a:ext cx="5759824" cy="1916206"/>
        </a:xfrm>
        <a:custGeom>
          <a:avLst/>
          <a:gdLst>
            <a:gd name="connsiteX0" fmla="*/ 5401236 w 5759824"/>
            <a:gd name="connsiteY0" fmla="*/ 0 h 1916206"/>
            <a:gd name="connsiteX1" fmla="*/ 5759824 w 5759824"/>
            <a:gd name="connsiteY1" fmla="*/ 0 h 1916206"/>
            <a:gd name="connsiteX2" fmla="*/ 5759824 w 5759824"/>
            <a:gd name="connsiteY2" fmla="*/ 986118 h 1916206"/>
            <a:gd name="connsiteX3" fmla="*/ 0 w 5759824"/>
            <a:gd name="connsiteY3" fmla="*/ 986118 h 1916206"/>
            <a:gd name="connsiteX4" fmla="*/ 0 w 5759824"/>
            <a:gd name="connsiteY4" fmla="*/ 1916206 h 1916206"/>
            <a:gd name="connsiteX5" fmla="*/ 403412 w 5759824"/>
            <a:gd name="connsiteY5" fmla="*/ 1916206 h 1916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5759824" h="1916206">
              <a:moveTo>
                <a:pt x="5401236" y="0"/>
              </a:moveTo>
              <a:lnTo>
                <a:pt x="5759824" y="0"/>
              </a:lnTo>
              <a:lnTo>
                <a:pt x="5759824" y="986118"/>
              </a:lnTo>
              <a:lnTo>
                <a:pt x="0" y="986118"/>
              </a:lnTo>
              <a:lnTo>
                <a:pt x="0" y="1916206"/>
              </a:lnTo>
              <a:lnTo>
                <a:pt x="403412" y="1916206"/>
              </a:lnTo>
            </a:path>
          </a:pathLst>
        </a:custGeom>
        <a:noFill/>
        <a:ln w="19050">
          <a:solidFill>
            <a:schemeClr val="accent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3</xdr:col>
      <xdr:colOff>1213563</xdr:colOff>
      <xdr:row>12</xdr:row>
      <xdr:rowOff>109150</xdr:rowOff>
    </xdr:from>
    <xdr:ext cx="217560" cy="973921"/>
    <xdr:sp macro="" textlink="">
      <xdr:nvSpPr>
        <xdr:cNvPr id="14" name="TextBox 13"/>
        <xdr:cNvSpPr txBox="1"/>
      </xdr:nvSpPr>
      <xdr:spPr>
        <a:xfrm rot="5400000">
          <a:off x="2375947" y="14045961"/>
          <a:ext cx="97392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/>
            <a:t>разбитый</a:t>
          </a:r>
          <a:r>
            <a:rPr lang="ru-RU" sz="800" baseline="0"/>
            <a:t> асфальт</a:t>
          </a:r>
          <a:endParaRPr lang="ru-RU" sz="800"/>
        </a:p>
      </xdr:txBody>
    </xdr:sp>
    <xdr:clientData/>
  </xdr:oneCellAnchor>
  <xdr:oneCellAnchor>
    <xdr:from>
      <xdr:col>3</xdr:col>
      <xdr:colOff>1453759</xdr:colOff>
      <xdr:row>13</xdr:row>
      <xdr:rowOff>887713</xdr:rowOff>
    </xdr:from>
    <xdr:ext cx="217560" cy="973921"/>
    <xdr:sp macro="" textlink="">
      <xdr:nvSpPr>
        <xdr:cNvPr id="386" name="TextBox 385"/>
        <xdr:cNvSpPr txBox="1"/>
      </xdr:nvSpPr>
      <xdr:spPr>
        <a:xfrm rot="5400000">
          <a:off x="2616143" y="16853764"/>
          <a:ext cx="973921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800"/>
            <a:t>разбитый</a:t>
          </a:r>
          <a:r>
            <a:rPr lang="ru-RU" sz="800" baseline="0"/>
            <a:t> асфальт</a:t>
          </a:r>
          <a:endParaRPr lang="ru-RU" sz="800"/>
        </a:p>
      </xdr:txBody>
    </xdr:sp>
    <xdr:clientData/>
  </xdr:oneCellAnchor>
  <xdr:oneCellAnchor>
    <xdr:from>
      <xdr:col>0</xdr:col>
      <xdr:colOff>112059</xdr:colOff>
      <xdr:row>12</xdr:row>
      <xdr:rowOff>448235</xdr:rowOff>
    </xdr:from>
    <xdr:ext cx="330155" cy="468013"/>
    <xdr:sp macro="" textlink="">
      <xdr:nvSpPr>
        <xdr:cNvPr id="15" name="TextBox 14"/>
        <xdr:cNvSpPr txBox="1"/>
      </xdr:nvSpPr>
      <xdr:spPr>
        <a:xfrm>
          <a:off x="112059" y="14040970"/>
          <a:ext cx="330155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 b="1"/>
            <a:t>S</a:t>
          </a:r>
          <a:endParaRPr lang="ru-RU" sz="2400" b="1"/>
        </a:p>
      </xdr:txBody>
    </xdr:sp>
    <xdr:clientData/>
  </xdr:oneCellAnchor>
  <xdr:oneCellAnchor>
    <xdr:from>
      <xdr:col>6</xdr:col>
      <xdr:colOff>100854</xdr:colOff>
      <xdr:row>13</xdr:row>
      <xdr:rowOff>347382</xdr:rowOff>
    </xdr:from>
    <xdr:ext cx="325923" cy="468013"/>
    <xdr:sp macro="" textlink="">
      <xdr:nvSpPr>
        <xdr:cNvPr id="406" name="TextBox 405"/>
        <xdr:cNvSpPr txBox="1"/>
      </xdr:nvSpPr>
      <xdr:spPr>
        <a:xfrm>
          <a:off x="5715001" y="15968382"/>
          <a:ext cx="325923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 b="1"/>
            <a:t>F</a:t>
          </a:r>
          <a:endParaRPr lang="ru-RU" sz="2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4482</xdr:rowOff>
    </xdr:from>
    <xdr:to>
      <xdr:col>2</xdr:col>
      <xdr:colOff>419206</xdr:colOff>
      <xdr:row>3</xdr:row>
      <xdr:rowOff>8730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482"/>
          <a:ext cx="1220987" cy="676601"/>
        </a:xfrm>
        <a:prstGeom prst="rect">
          <a:avLst/>
        </a:prstGeom>
      </xdr:spPr>
    </xdr:pic>
    <xdr:clientData/>
  </xdr:twoCellAnchor>
  <xdr:twoCellAnchor>
    <xdr:from>
      <xdr:col>3</xdr:col>
      <xdr:colOff>781160</xdr:colOff>
      <xdr:row>5</xdr:row>
      <xdr:rowOff>98451</xdr:rowOff>
    </xdr:from>
    <xdr:to>
      <xdr:col>3</xdr:col>
      <xdr:colOff>781160</xdr:colOff>
      <xdr:row>5</xdr:row>
      <xdr:rowOff>1390379</xdr:rowOff>
    </xdr:to>
    <xdr:cxnSp macro="">
      <xdr:nvCxnSpPr>
        <xdr:cNvPr id="63" name="Прямая со стрелкой 6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4210" y="75650751"/>
          <a:ext cx="0" cy="1291928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740167</xdr:colOff>
      <xdr:row>5</xdr:row>
      <xdr:rowOff>1372682</xdr:rowOff>
    </xdr:from>
    <xdr:to>
      <xdr:col>3</xdr:col>
      <xdr:colOff>812167</xdr:colOff>
      <xdr:row>5</xdr:row>
      <xdr:rowOff>1444682</xdr:rowOff>
    </xdr:to>
    <xdr:sp macro="" textlink="">
      <xdr:nvSpPr>
        <xdr:cNvPr id="64" name="Овал 6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3217" y="769249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100853</xdr:colOff>
      <xdr:row>5</xdr:row>
      <xdr:rowOff>658745</xdr:rowOff>
    </xdr:from>
    <xdr:to>
      <xdr:col>3</xdr:col>
      <xdr:colOff>1501588</xdr:colOff>
      <xdr:row>5</xdr:row>
      <xdr:rowOff>950098</xdr:rowOff>
    </xdr:to>
    <xdr:sp macro="" textlink="">
      <xdr:nvSpPr>
        <xdr:cNvPr id="65" name="Полилиния 64"/>
        <xdr:cNvSpPr/>
      </xdr:nvSpPr>
      <xdr:spPr>
        <a:xfrm>
          <a:off x="1643903" y="76211045"/>
          <a:ext cx="1400735" cy="291353"/>
        </a:xfrm>
        <a:custGeom>
          <a:avLst/>
          <a:gdLst>
            <a:gd name="connsiteX0" fmla="*/ 1400735 w 1400735"/>
            <a:gd name="connsiteY0" fmla="*/ 291353 h 291353"/>
            <a:gd name="connsiteX1" fmla="*/ 672353 w 1400735"/>
            <a:gd name="connsiteY1" fmla="*/ 78441 h 291353"/>
            <a:gd name="connsiteX2" fmla="*/ 0 w 1400735"/>
            <a:gd name="connsiteY2" fmla="*/ 0 h 2913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400735" h="291353">
              <a:moveTo>
                <a:pt x="1400735" y="291353"/>
              </a:moveTo>
              <a:cubicBezTo>
                <a:pt x="1153272" y="209176"/>
                <a:pt x="905809" y="127000"/>
                <a:pt x="672353" y="78441"/>
              </a:cubicBezTo>
              <a:cubicBezTo>
                <a:pt x="438897" y="29882"/>
                <a:pt x="0" y="0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headEnd type="triangle" w="med" len="lg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817485</xdr:colOff>
      <xdr:row>6</xdr:row>
      <xdr:rowOff>95250</xdr:rowOff>
    </xdr:from>
    <xdr:to>
      <xdr:col>3</xdr:col>
      <xdr:colOff>817485</xdr:colOff>
      <xdr:row>6</xdr:row>
      <xdr:rowOff>1387177</xdr:rowOff>
    </xdr:to>
    <xdr:cxnSp macro="">
      <xdr:nvCxnSpPr>
        <xdr:cNvPr id="66" name="Прямая со стрелкой 65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60535" y="77171550"/>
          <a:ext cx="0" cy="129192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776492</xdr:colOff>
      <xdr:row>6</xdr:row>
      <xdr:rowOff>1369481</xdr:rowOff>
    </xdr:from>
    <xdr:to>
      <xdr:col>3</xdr:col>
      <xdr:colOff>848492</xdr:colOff>
      <xdr:row>6</xdr:row>
      <xdr:rowOff>1441481</xdr:rowOff>
    </xdr:to>
    <xdr:sp macro="" textlink="">
      <xdr:nvSpPr>
        <xdr:cNvPr id="67" name="Овал 66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9542" y="7844578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783787</xdr:colOff>
      <xdr:row>8</xdr:row>
      <xdr:rowOff>96130</xdr:rowOff>
    </xdr:from>
    <xdr:to>
      <xdr:col>3</xdr:col>
      <xdr:colOff>783787</xdr:colOff>
      <xdr:row>8</xdr:row>
      <xdr:rowOff>1388057</xdr:rowOff>
    </xdr:to>
    <xdr:cxnSp macro="">
      <xdr:nvCxnSpPr>
        <xdr:cNvPr id="92" name="Прямая со стрелкой 9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6837" y="7068430"/>
          <a:ext cx="0" cy="1291927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747073</xdr:colOff>
      <xdr:row>8</xdr:row>
      <xdr:rowOff>1371036</xdr:rowOff>
    </xdr:from>
    <xdr:to>
      <xdr:col>3</xdr:col>
      <xdr:colOff>819073</xdr:colOff>
      <xdr:row>8</xdr:row>
      <xdr:rowOff>1443036</xdr:rowOff>
    </xdr:to>
    <xdr:sp macro="" textlink="">
      <xdr:nvSpPr>
        <xdr:cNvPr id="95" name="Овал 94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66125">
          <a:off x="2285727" y="834626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799653</xdr:colOff>
      <xdr:row>20</xdr:row>
      <xdr:rowOff>91046</xdr:rowOff>
    </xdr:from>
    <xdr:to>
      <xdr:col>3</xdr:col>
      <xdr:colOff>799653</xdr:colOff>
      <xdr:row>20</xdr:row>
      <xdr:rowOff>1416978</xdr:rowOff>
    </xdr:to>
    <xdr:cxnSp macro="">
      <xdr:nvCxnSpPr>
        <xdr:cNvPr id="79" name="Прямая со стрелкой 7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38307" y="13162277"/>
          <a:ext cx="0" cy="1325932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757420</xdr:colOff>
      <xdr:row>20</xdr:row>
      <xdr:rowOff>1387215</xdr:rowOff>
    </xdr:from>
    <xdr:to>
      <xdr:col>3</xdr:col>
      <xdr:colOff>829420</xdr:colOff>
      <xdr:row>20</xdr:row>
      <xdr:rowOff>1459215</xdr:rowOff>
    </xdr:to>
    <xdr:sp macro="" textlink="">
      <xdr:nvSpPr>
        <xdr:cNvPr id="80" name="Овал 7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6074" y="1445844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152400</xdr:colOff>
      <xdr:row>20</xdr:row>
      <xdr:rowOff>304800</xdr:rowOff>
    </xdr:from>
    <xdr:to>
      <xdr:col>3</xdr:col>
      <xdr:colOff>1409701</xdr:colOff>
      <xdr:row>20</xdr:row>
      <xdr:rowOff>1285875</xdr:rowOff>
    </xdr:to>
    <xdr:cxnSp macro="">
      <xdr:nvCxnSpPr>
        <xdr:cNvPr id="81" name="Прямая соединительная линия 80"/>
        <xdr:cNvCxnSpPr/>
      </xdr:nvCxnSpPr>
      <xdr:spPr>
        <a:xfrm flipH="1">
          <a:off x="1695450" y="13373100"/>
          <a:ext cx="1257301" cy="981075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803215</xdr:colOff>
      <xdr:row>41</xdr:row>
      <xdr:rowOff>99391</xdr:rowOff>
    </xdr:from>
    <xdr:to>
      <xdr:col>3</xdr:col>
      <xdr:colOff>803215</xdr:colOff>
      <xdr:row>41</xdr:row>
      <xdr:rowOff>1425323</xdr:rowOff>
    </xdr:to>
    <xdr:cxnSp macro="">
      <xdr:nvCxnSpPr>
        <xdr:cNvPr id="117" name="Прямая со стрелкой 116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3780" y="20772782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760982</xdr:colOff>
      <xdr:row>41</xdr:row>
      <xdr:rowOff>1395560</xdr:rowOff>
    </xdr:from>
    <xdr:to>
      <xdr:col>3</xdr:col>
      <xdr:colOff>832982</xdr:colOff>
      <xdr:row>41</xdr:row>
      <xdr:rowOff>1467560</xdr:rowOff>
    </xdr:to>
    <xdr:sp macro="" textlink="">
      <xdr:nvSpPr>
        <xdr:cNvPr id="118" name="Овал 117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1547" y="2206895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796206</xdr:colOff>
      <xdr:row>42</xdr:row>
      <xdr:rowOff>49696</xdr:rowOff>
    </xdr:from>
    <xdr:to>
      <xdr:col>3</xdr:col>
      <xdr:colOff>796206</xdr:colOff>
      <xdr:row>42</xdr:row>
      <xdr:rowOff>1339236</xdr:rowOff>
    </xdr:to>
    <xdr:cxnSp macro="">
      <xdr:nvCxnSpPr>
        <xdr:cNvPr id="120" name="Прямая со стрелкой 11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36771" y="22247087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755213</xdr:colOff>
      <xdr:row>42</xdr:row>
      <xdr:rowOff>1321540</xdr:rowOff>
    </xdr:from>
    <xdr:to>
      <xdr:col>3</xdr:col>
      <xdr:colOff>827213</xdr:colOff>
      <xdr:row>42</xdr:row>
      <xdr:rowOff>1393540</xdr:rowOff>
    </xdr:to>
    <xdr:sp macro="" textlink="">
      <xdr:nvSpPr>
        <xdr:cNvPr id="121" name="Овал 12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95778" y="2351893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981096</xdr:colOff>
      <xdr:row>42</xdr:row>
      <xdr:rowOff>699645</xdr:rowOff>
    </xdr:from>
    <xdr:to>
      <xdr:col>3</xdr:col>
      <xdr:colOff>1053096</xdr:colOff>
      <xdr:row>42</xdr:row>
      <xdr:rowOff>771645</xdr:rowOff>
    </xdr:to>
    <xdr:sp macro="" textlink="">
      <xdr:nvSpPr>
        <xdr:cNvPr id="122" name="5-конечная звезда 121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21661" y="2289703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546652</xdr:colOff>
      <xdr:row>42</xdr:row>
      <xdr:rowOff>706972</xdr:rowOff>
    </xdr:from>
    <xdr:to>
      <xdr:col>3</xdr:col>
      <xdr:colOff>618652</xdr:colOff>
      <xdr:row>42</xdr:row>
      <xdr:rowOff>778972</xdr:rowOff>
    </xdr:to>
    <xdr:sp macro="" textlink="">
      <xdr:nvSpPr>
        <xdr:cNvPr id="123" name="5-конечная звезда 122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7217" y="2290436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952500</xdr:colOff>
      <xdr:row>42</xdr:row>
      <xdr:rowOff>99391</xdr:rowOff>
    </xdr:from>
    <xdr:ext cx="609653" cy="609653"/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5043" y="22296782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oneCellAnchor>
    <xdr:from>
      <xdr:col>4</xdr:col>
      <xdr:colOff>904875</xdr:colOff>
      <xdr:row>4</xdr:row>
      <xdr:rowOff>160884</xdr:rowOff>
    </xdr:from>
    <xdr:ext cx="609653" cy="609653"/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9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075" y="37613184"/>
          <a:ext cx="609653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951601</xdr:colOff>
      <xdr:row>6</xdr:row>
      <xdr:rowOff>741997</xdr:rowOff>
    </xdr:from>
    <xdr:to>
      <xdr:col>3</xdr:col>
      <xdr:colOff>1023601</xdr:colOff>
      <xdr:row>6</xdr:row>
      <xdr:rowOff>813997</xdr:rowOff>
    </xdr:to>
    <xdr:sp macro="" textlink="">
      <xdr:nvSpPr>
        <xdr:cNvPr id="85" name="5-конечная звезда 8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8739" y="4657100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953919</xdr:colOff>
      <xdr:row>6</xdr:row>
      <xdr:rowOff>1200151</xdr:rowOff>
    </xdr:from>
    <xdr:to>
      <xdr:col>5</xdr:col>
      <xdr:colOff>89865</xdr:colOff>
      <xdr:row>6</xdr:row>
      <xdr:rowOff>1352551</xdr:rowOff>
    </xdr:to>
    <xdr:sp macro="" textlink="">
      <xdr:nvSpPr>
        <xdr:cNvPr id="86" name="Скругленный прямоугольник 85"/>
        <xdr:cNvSpPr/>
      </xdr:nvSpPr>
      <xdr:spPr>
        <a:xfrm>
          <a:off x="4074876" y="5123640"/>
          <a:ext cx="518085" cy="152400"/>
        </a:xfrm>
        <a:prstGeom prst="round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000" b="1">
              <a:solidFill>
                <a:sysClr val="windowText" lastClr="000000"/>
              </a:solidFill>
            </a:rPr>
            <a:t>6</a:t>
          </a:r>
          <a:r>
            <a:rPr lang="en-US" sz="1000" b="1">
              <a:solidFill>
                <a:sysClr val="windowText" lastClr="000000"/>
              </a:solidFill>
            </a:rPr>
            <a:t>00 </a:t>
          </a:r>
          <a:r>
            <a:rPr lang="ru-RU" sz="1000" b="1">
              <a:solidFill>
                <a:sysClr val="windowText" lastClr="000000"/>
              </a:solidFill>
            </a:rPr>
            <a:t>м</a:t>
          </a:r>
        </a:p>
      </xdr:txBody>
    </xdr:sp>
    <xdr:clientData/>
  </xdr:twoCellAnchor>
  <xdr:twoCellAnchor editAs="oneCell">
    <xdr:from>
      <xdr:col>4</xdr:col>
      <xdr:colOff>847725</xdr:colOff>
      <xdr:row>6</xdr:row>
      <xdr:rowOff>89002</xdr:rowOff>
    </xdr:from>
    <xdr:to>
      <xdr:col>5</xdr:col>
      <xdr:colOff>190500</xdr:colOff>
      <xdr:row>6</xdr:row>
      <xdr:rowOff>600075</xdr:rowOff>
    </xdr:to>
    <xdr:pic>
      <xdr:nvPicPr>
        <xdr:cNvPr id="87" name="Рисунок 86" descr="Картинки по запросу знак 2.3.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" y="4013302"/>
          <a:ext cx="723900" cy="511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1323975</xdr:colOff>
      <xdr:row>7</xdr:row>
      <xdr:rowOff>523874</xdr:rowOff>
    </xdr:from>
    <xdr:to>
      <xdr:col>5</xdr:col>
      <xdr:colOff>1028700</xdr:colOff>
      <xdr:row>7</xdr:row>
      <xdr:rowOff>1066799</xdr:rowOff>
    </xdr:to>
    <xdr:pic>
      <xdr:nvPicPr>
        <xdr:cNvPr id="8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5972174"/>
          <a:ext cx="108585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1162050</xdr:colOff>
      <xdr:row>7</xdr:row>
      <xdr:rowOff>76200</xdr:rowOff>
    </xdr:from>
    <xdr:to>
      <xdr:col>4</xdr:col>
      <xdr:colOff>1162050</xdr:colOff>
      <xdr:row>7</xdr:row>
      <xdr:rowOff>1371600</xdr:rowOff>
    </xdr:to>
    <xdr:cxnSp macro="">
      <xdr:nvCxnSpPr>
        <xdr:cNvPr id="4" name="Прямая соединительная линия 3"/>
        <xdr:cNvCxnSpPr/>
      </xdr:nvCxnSpPr>
      <xdr:spPr>
        <a:xfrm>
          <a:off x="4286250" y="5524500"/>
          <a:ext cx="0" cy="129540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400050</xdr:colOff>
      <xdr:row>7</xdr:row>
      <xdr:rowOff>523875</xdr:rowOff>
    </xdr:from>
    <xdr:to>
      <xdr:col>4</xdr:col>
      <xdr:colOff>923925</xdr:colOff>
      <xdr:row>7</xdr:row>
      <xdr:rowOff>1047750</xdr:rowOff>
    </xdr:to>
    <xdr:pic>
      <xdr:nvPicPr>
        <xdr:cNvPr id="8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5972175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631988</xdr:colOff>
      <xdr:row>7</xdr:row>
      <xdr:rowOff>791077</xdr:rowOff>
    </xdr:from>
    <xdr:to>
      <xdr:col>3</xdr:col>
      <xdr:colOff>975073</xdr:colOff>
      <xdr:row>7</xdr:row>
      <xdr:rowOff>1126958</xdr:rowOff>
    </xdr:to>
    <xdr:sp macro="" textlink="">
      <xdr:nvSpPr>
        <xdr:cNvPr id="133" name="Дуга 132"/>
        <xdr:cNvSpPr/>
      </xdr:nvSpPr>
      <xdr:spPr>
        <a:xfrm>
          <a:off x="2175038" y="6239377"/>
          <a:ext cx="343085" cy="335881"/>
        </a:xfrm>
        <a:prstGeom prst="arc">
          <a:avLst>
            <a:gd name="adj1" fmla="val 10780261"/>
            <a:gd name="adj2" fmla="val 0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631988</xdr:colOff>
      <xdr:row>7</xdr:row>
      <xdr:rowOff>430131</xdr:rowOff>
    </xdr:from>
    <xdr:to>
      <xdr:col>3</xdr:col>
      <xdr:colOff>975073</xdr:colOff>
      <xdr:row>7</xdr:row>
      <xdr:rowOff>766012</xdr:rowOff>
    </xdr:to>
    <xdr:sp macro="" textlink="">
      <xdr:nvSpPr>
        <xdr:cNvPr id="134" name="Дуга 133"/>
        <xdr:cNvSpPr/>
      </xdr:nvSpPr>
      <xdr:spPr>
        <a:xfrm flipV="1">
          <a:off x="2175038" y="5878431"/>
          <a:ext cx="343085" cy="335881"/>
        </a:xfrm>
        <a:prstGeom prst="arc">
          <a:avLst>
            <a:gd name="adj1" fmla="val 10780261"/>
            <a:gd name="adj2" fmla="val 0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896055</xdr:colOff>
      <xdr:row>7</xdr:row>
      <xdr:rowOff>1402357</xdr:rowOff>
    </xdr:from>
    <xdr:to>
      <xdr:col>3</xdr:col>
      <xdr:colOff>971368</xdr:colOff>
      <xdr:row>7</xdr:row>
      <xdr:rowOff>1474357</xdr:rowOff>
    </xdr:to>
    <xdr:sp macro="" textlink="">
      <xdr:nvSpPr>
        <xdr:cNvPr id="136" name="Овал 135">
          <a:extLst>
            <a:ext uri="{FF2B5EF4-FFF2-40B4-BE49-F238E27FC236}">
              <a16:creationId xmlns:a16="http://schemas.microsoft.com/office/drawing/2014/main" id="{00000000-0008-0000-0900-00003D020000}"/>
            </a:ext>
          </a:extLst>
        </xdr:cNvPr>
        <xdr:cNvSpPr/>
      </xdr:nvSpPr>
      <xdr:spPr>
        <a:xfrm>
          <a:off x="2433193" y="6841460"/>
          <a:ext cx="75313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820221</xdr:colOff>
      <xdr:row>7</xdr:row>
      <xdr:rowOff>971911</xdr:rowOff>
    </xdr:from>
    <xdr:to>
      <xdr:col>3</xdr:col>
      <xdr:colOff>892221</xdr:colOff>
      <xdr:row>7</xdr:row>
      <xdr:rowOff>1043911</xdr:rowOff>
    </xdr:to>
    <xdr:sp macro="" textlink="">
      <xdr:nvSpPr>
        <xdr:cNvPr id="137" name="5-конечная звезда 13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357359" y="641101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1096118</xdr:colOff>
      <xdr:row>7</xdr:row>
      <xdr:rowOff>971911</xdr:rowOff>
    </xdr:from>
    <xdr:to>
      <xdr:col>3</xdr:col>
      <xdr:colOff>1168118</xdr:colOff>
      <xdr:row>7</xdr:row>
      <xdr:rowOff>1043911</xdr:rowOff>
    </xdr:to>
    <xdr:sp macro="" textlink="">
      <xdr:nvSpPr>
        <xdr:cNvPr id="138" name="5-конечная звезда 137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633256" y="641101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617245</xdr:colOff>
      <xdr:row>7</xdr:row>
      <xdr:rowOff>111673</xdr:rowOff>
    </xdr:from>
    <xdr:to>
      <xdr:col>3</xdr:col>
      <xdr:colOff>662964</xdr:colOff>
      <xdr:row>7</xdr:row>
      <xdr:rowOff>1432035</xdr:rowOff>
    </xdr:to>
    <xdr:sp macro="" textlink="">
      <xdr:nvSpPr>
        <xdr:cNvPr id="6" name="Полилиния 5"/>
        <xdr:cNvSpPr/>
      </xdr:nvSpPr>
      <xdr:spPr>
        <a:xfrm>
          <a:off x="2154383" y="5550776"/>
          <a:ext cx="45719" cy="1320362"/>
        </a:xfrm>
        <a:custGeom>
          <a:avLst/>
          <a:gdLst>
            <a:gd name="connsiteX0" fmla="*/ 59358 w 79065"/>
            <a:gd name="connsiteY0" fmla="*/ 0 h 1320362"/>
            <a:gd name="connsiteX1" fmla="*/ 238 w 79065"/>
            <a:gd name="connsiteY1" fmla="*/ 637190 h 1320362"/>
            <a:gd name="connsiteX2" fmla="*/ 79065 w 79065"/>
            <a:gd name="connsiteY2" fmla="*/ 1320362 h 13203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065" h="1320362">
              <a:moveTo>
                <a:pt x="59358" y="0"/>
              </a:moveTo>
              <a:cubicBezTo>
                <a:pt x="28156" y="208565"/>
                <a:pt x="-3046" y="417130"/>
                <a:pt x="238" y="637190"/>
              </a:cubicBezTo>
              <a:cubicBezTo>
                <a:pt x="3522" y="857250"/>
                <a:pt x="41293" y="1088806"/>
                <a:pt x="79065" y="1320362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940438</xdr:colOff>
      <xdr:row>7</xdr:row>
      <xdr:rowOff>106418</xdr:rowOff>
    </xdr:from>
    <xdr:to>
      <xdr:col>3</xdr:col>
      <xdr:colOff>986157</xdr:colOff>
      <xdr:row>7</xdr:row>
      <xdr:rowOff>1426780</xdr:rowOff>
    </xdr:to>
    <xdr:sp macro="" textlink="">
      <xdr:nvSpPr>
        <xdr:cNvPr id="139" name="Полилиния 138"/>
        <xdr:cNvSpPr/>
      </xdr:nvSpPr>
      <xdr:spPr>
        <a:xfrm flipH="1">
          <a:off x="2477576" y="5545521"/>
          <a:ext cx="45719" cy="1320362"/>
        </a:xfrm>
        <a:custGeom>
          <a:avLst/>
          <a:gdLst>
            <a:gd name="connsiteX0" fmla="*/ 59358 w 79065"/>
            <a:gd name="connsiteY0" fmla="*/ 0 h 1320362"/>
            <a:gd name="connsiteX1" fmla="*/ 238 w 79065"/>
            <a:gd name="connsiteY1" fmla="*/ 637190 h 1320362"/>
            <a:gd name="connsiteX2" fmla="*/ 79065 w 79065"/>
            <a:gd name="connsiteY2" fmla="*/ 1320362 h 132036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9065" h="1320362">
              <a:moveTo>
                <a:pt x="59358" y="0"/>
              </a:moveTo>
              <a:cubicBezTo>
                <a:pt x="28156" y="208565"/>
                <a:pt x="-3046" y="417130"/>
                <a:pt x="238" y="637190"/>
              </a:cubicBezTo>
              <a:cubicBezTo>
                <a:pt x="3522" y="857250"/>
                <a:pt x="41293" y="1088806"/>
                <a:pt x="79065" y="1320362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780786</xdr:colOff>
      <xdr:row>9</xdr:row>
      <xdr:rowOff>59603</xdr:rowOff>
    </xdr:from>
    <xdr:to>
      <xdr:col>3</xdr:col>
      <xdr:colOff>780786</xdr:colOff>
      <xdr:row>9</xdr:row>
      <xdr:rowOff>1385535</xdr:rowOff>
    </xdr:to>
    <xdr:cxnSp macro="">
      <xdr:nvCxnSpPr>
        <xdr:cNvPr id="140" name="Прямая со стрелкой 139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19440" y="8558834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738553</xdr:colOff>
      <xdr:row>9</xdr:row>
      <xdr:rowOff>1355772</xdr:rowOff>
    </xdr:from>
    <xdr:to>
      <xdr:col>3</xdr:col>
      <xdr:colOff>810553</xdr:colOff>
      <xdr:row>9</xdr:row>
      <xdr:rowOff>1427772</xdr:rowOff>
    </xdr:to>
    <xdr:sp macro="" textlink="">
      <xdr:nvSpPr>
        <xdr:cNvPr id="141" name="Овал 140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77207" y="985500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373673</xdr:colOff>
      <xdr:row>9</xdr:row>
      <xdr:rowOff>693763</xdr:rowOff>
    </xdr:from>
    <xdr:to>
      <xdr:col>3</xdr:col>
      <xdr:colOff>1488672</xdr:colOff>
      <xdr:row>9</xdr:row>
      <xdr:rowOff>805039</xdr:rowOff>
    </xdr:to>
    <xdr:cxnSp macro="">
      <xdr:nvCxnSpPr>
        <xdr:cNvPr id="142" name="Прямая соединительная линия 141"/>
        <xdr:cNvCxnSpPr/>
      </xdr:nvCxnSpPr>
      <xdr:spPr>
        <a:xfrm>
          <a:off x="1912327" y="9192994"/>
          <a:ext cx="1114999" cy="111276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63128</xdr:colOff>
      <xdr:row>9</xdr:row>
      <xdr:rowOff>660270</xdr:rowOff>
    </xdr:from>
    <xdr:to>
      <xdr:col>3</xdr:col>
      <xdr:colOff>410308</xdr:colOff>
      <xdr:row>9</xdr:row>
      <xdr:rowOff>695038</xdr:rowOff>
    </xdr:to>
    <xdr:cxnSp macro="">
      <xdr:nvCxnSpPr>
        <xdr:cNvPr id="146" name="Прямая соединительная линия 145"/>
        <xdr:cNvCxnSpPr/>
      </xdr:nvCxnSpPr>
      <xdr:spPr>
        <a:xfrm>
          <a:off x="1601782" y="9159501"/>
          <a:ext cx="347180" cy="34768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8</xdr:row>
      <xdr:rowOff>439615</xdr:rowOff>
    </xdr:from>
    <xdr:to>
      <xdr:col>3</xdr:col>
      <xdr:colOff>1465384</xdr:colOff>
      <xdr:row>8</xdr:row>
      <xdr:rowOff>864577</xdr:rowOff>
    </xdr:to>
    <xdr:cxnSp macro="">
      <xdr:nvCxnSpPr>
        <xdr:cNvPr id="147" name="Прямая соединительная линия 146"/>
        <xdr:cNvCxnSpPr/>
      </xdr:nvCxnSpPr>
      <xdr:spPr>
        <a:xfrm flipV="1">
          <a:off x="2014904" y="7414846"/>
          <a:ext cx="989134" cy="424962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130419</xdr:colOff>
      <xdr:row>8</xdr:row>
      <xdr:rowOff>871904</xdr:rowOff>
    </xdr:from>
    <xdr:to>
      <xdr:col>3</xdr:col>
      <xdr:colOff>468088</xdr:colOff>
      <xdr:row>8</xdr:row>
      <xdr:rowOff>1016977</xdr:rowOff>
    </xdr:to>
    <xdr:cxnSp macro="">
      <xdr:nvCxnSpPr>
        <xdr:cNvPr id="149" name="Прямая соединительная линия 148"/>
        <xdr:cNvCxnSpPr/>
      </xdr:nvCxnSpPr>
      <xdr:spPr>
        <a:xfrm flipV="1">
          <a:off x="1669073" y="7847135"/>
          <a:ext cx="337669" cy="145073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800414</xdr:colOff>
      <xdr:row>10</xdr:row>
      <xdr:rowOff>100853</xdr:rowOff>
    </xdr:from>
    <xdr:to>
      <xdr:col>3</xdr:col>
      <xdr:colOff>800414</xdr:colOff>
      <xdr:row>10</xdr:row>
      <xdr:rowOff>1390393</xdr:rowOff>
    </xdr:to>
    <xdr:cxnSp macro="">
      <xdr:nvCxnSpPr>
        <xdr:cNvPr id="150" name="Прямая со стрелкой 14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3464" y="26885153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759421</xdr:colOff>
      <xdr:row>10</xdr:row>
      <xdr:rowOff>1372697</xdr:rowOff>
    </xdr:from>
    <xdr:to>
      <xdr:col>3</xdr:col>
      <xdr:colOff>831421</xdr:colOff>
      <xdr:row>10</xdr:row>
      <xdr:rowOff>1444697</xdr:rowOff>
    </xdr:to>
    <xdr:sp macro="" textlink="">
      <xdr:nvSpPr>
        <xdr:cNvPr id="151" name="Овал 15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2815699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974093</xdr:colOff>
      <xdr:row>10</xdr:row>
      <xdr:rowOff>739096</xdr:rowOff>
    </xdr:from>
    <xdr:to>
      <xdr:col>3</xdr:col>
      <xdr:colOff>1046093</xdr:colOff>
      <xdr:row>10</xdr:row>
      <xdr:rowOff>811096</xdr:rowOff>
    </xdr:to>
    <xdr:sp macro="" textlink="">
      <xdr:nvSpPr>
        <xdr:cNvPr id="152" name="5-конечная звезда 151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7143" y="27523396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539649</xdr:colOff>
      <xdr:row>10</xdr:row>
      <xdr:rowOff>746423</xdr:rowOff>
    </xdr:from>
    <xdr:to>
      <xdr:col>3</xdr:col>
      <xdr:colOff>611649</xdr:colOff>
      <xdr:row>10</xdr:row>
      <xdr:rowOff>818423</xdr:rowOff>
    </xdr:to>
    <xdr:sp macro="" textlink="">
      <xdr:nvSpPr>
        <xdr:cNvPr id="153" name="5-конечная звезда 152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2699" y="27530723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4</xdr:col>
      <xdr:colOff>962988</xdr:colOff>
      <xdr:row>10</xdr:row>
      <xdr:rowOff>81962</xdr:rowOff>
    </xdr:from>
    <xdr:ext cx="614775" cy="609653"/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188" y="26866262"/>
          <a:ext cx="614775" cy="609653"/>
        </a:xfrm>
        <a:prstGeom prst="rect">
          <a:avLst/>
        </a:prstGeom>
        <a:ln w="19050">
          <a:noFill/>
        </a:ln>
      </xdr:spPr>
    </xdr:pic>
    <xdr:clientData/>
  </xdr:oneCellAnchor>
  <xdr:twoCellAnchor>
    <xdr:from>
      <xdr:col>3</xdr:col>
      <xdr:colOff>798647</xdr:colOff>
      <xdr:row>19</xdr:row>
      <xdr:rowOff>97332</xdr:rowOff>
    </xdr:from>
    <xdr:to>
      <xdr:col>3</xdr:col>
      <xdr:colOff>798647</xdr:colOff>
      <xdr:row>19</xdr:row>
      <xdr:rowOff>1386872</xdr:rowOff>
    </xdr:to>
    <xdr:cxnSp macro="">
      <xdr:nvCxnSpPr>
        <xdr:cNvPr id="155" name="Прямая со стрелкой 15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1697" y="29929632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757654</xdr:colOff>
      <xdr:row>19</xdr:row>
      <xdr:rowOff>1369176</xdr:rowOff>
    </xdr:from>
    <xdr:to>
      <xdr:col>3</xdr:col>
      <xdr:colOff>829654</xdr:colOff>
      <xdr:row>19</xdr:row>
      <xdr:rowOff>1441176</xdr:rowOff>
    </xdr:to>
    <xdr:sp macro="" textlink="">
      <xdr:nvSpPr>
        <xdr:cNvPr id="156" name="Овал 15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0704" y="3120147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972326</xdr:colOff>
      <xdr:row>19</xdr:row>
      <xdr:rowOff>757987</xdr:rowOff>
    </xdr:from>
    <xdr:to>
      <xdr:col>3</xdr:col>
      <xdr:colOff>1044326</xdr:colOff>
      <xdr:row>19</xdr:row>
      <xdr:rowOff>829987</xdr:rowOff>
    </xdr:to>
    <xdr:sp macro="" textlink="">
      <xdr:nvSpPr>
        <xdr:cNvPr id="157" name="5-конечная звезда 156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15376" y="3059028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537882</xdr:colOff>
      <xdr:row>19</xdr:row>
      <xdr:rowOff>765314</xdr:rowOff>
    </xdr:from>
    <xdr:to>
      <xdr:col>3</xdr:col>
      <xdr:colOff>609882</xdr:colOff>
      <xdr:row>19</xdr:row>
      <xdr:rowOff>837314</xdr:rowOff>
    </xdr:to>
    <xdr:sp macro="" textlink="">
      <xdr:nvSpPr>
        <xdr:cNvPr id="158" name="5-конечная звезда 157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80932" y="3059761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827273</xdr:colOff>
      <xdr:row>21</xdr:row>
      <xdr:rowOff>122214</xdr:rowOff>
    </xdr:from>
    <xdr:to>
      <xdr:col>3</xdr:col>
      <xdr:colOff>827273</xdr:colOff>
      <xdr:row>21</xdr:row>
      <xdr:rowOff>1414141</xdr:rowOff>
    </xdr:to>
    <xdr:cxnSp macro="">
      <xdr:nvCxnSpPr>
        <xdr:cNvPr id="160" name="Прямая со стрелкой 159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rot="10800000">
          <a:off x="2373685" y="14734685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791987</xdr:colOff>
      <xdr:row>21</xdr:row>
      <xdr:rowOff>1333498</xdr:rowOff>
    </xdr:from>
    <xdr:to>
      <xdr:col>3</xdr:col>
      <xdr:colOff>863987</xdr:colOff>
      <xdr:row>21</xdr:row>
      <xdr:rowOff>1405498</xdr:rowOff>
    </xdr:to>
    <xdr:sp macro="" textlink="">
      <xdr:nvSpPr>
        <xdr:cNvPr id="161" name="Овал 16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10966125">
          <a:off x="2338399" y="1594596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145676</xdr:colOff>
      <xdr:row>21</xdr:row>
      <xdr:rowOff>645694</xdr:rowOff>
    </xdr:from>
    <xdr:to>
      <xdr:col>3</xdr:col>
      <xdr:colOff>1134810</xdr:colOff>
      <xdr:row>21</xdr:row>
      <xdr:rowOff>1070656</xdr:rowOff>
    </xdr:to>
    <xdr:cxnSp macro="">
      <xdr:nvCxnSpPr>
        <xdr:cNvPr id="162" name="Прямая соединительная линия 161"/>
        <xdr:cNvCxnSpPr/>
      </xdr:nvCxnSpPr>
      <xdr:spPr>
        <a:xfrm rot="10800000" flipV="1">
          <a:off x="1692088" y="15258165"/>
          <a:ext cx="989134" cy="424962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1142972</xdr:colOff>
      <xdr:row>21</xdr:row>
      <xdr:rowOff>493294</xdr:rowOff>
    </xdr:from>
    <xdr:to>
      <xdr:col>3</xdr:col>
      <xdr:colOff>1480641</xdr:colOff>
      <xdr:row>21</xdr:row>
      <xdr:rowOff>638367</xdr:rowOff>
    </xdr:to>
    <xdr:cxnSp macro="">
      <xdr:nvCxnSpPr>
        <xdr:cNvPr id="163" name="Прямая соединительная линия 162"/>
        <xdr:cNvCxnSpPr/>
      </xdr:nvCxnSpPr>
      <xdr:spPr>
        <a:xfrm rot="10800000" flipV="1">
          <a:off x="2689384" y="15105765"/>
          <a:ext cx="337669" cy="145073"/>
        </a:xfrm>
        <a:prstGeom prst="line">
          <a:avLst/>
        </a:prstGeom>
        <a:ln w="19050">
          <a:solidFill>
            <a:schemeClr val="tx1"/>
          </a:solidFill>
          <a:prstDash val="sysDot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781900</xdr:colOff>
      <xdr:row>25</xdr:row>
      <xdr:rowOff>145897</xdr:rowOff>
    </xdr:from>
    <xdr:to>
      <xdr:col>3</xdr:col>
      <xdr:colOff>781900</xdr:colOff>
      <xdr:row>25</xdr:row>
      <xdr:rowOff>1437824</xdr:rowOff>
    </xdr:to>
    <xdr:cxnSp macro="">
      <xdr:nvCxnSpPr>
        <xdr:cNvPr id="165" name="Прямая со стрелкой 16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28312" y="17806368"/>
          <a:ext cx="0" cy="12919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740907</xdr:colOff>
      <xdr:row>25</xdr:row>
      <xdr:rowOff>1386510</xdr:rowOff>
    </xdr:from>
    <xdr:to>
      <xdr:col>3</xdr:col>
      <xdr:colOff>812907</xdr:colOff>
      <xdr:row>25</xdr:row>
      <xdr:rowOff>1458510</xdr:rowOff>
    </xdr:to>
    <xdr:sp macro="" textlink="">
      <xdr:nvSpPr>
        <xdr:cNvPr id="166" name="Овал 16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7319" y="1904698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123265</xdr:colOff>
      <xdr:row>25</xdr:row>
      <xdr:rowOff>750794</xdr:rowOff>
    </xdr:from>
    <xdr:to>
      <xdr:col>3</xdr:col>
      <xdr:colOff>773207</xdr:colOff>
      <xdr:row>25</xdr:row>
      <xdr:rowOff>918882</xdr:rowOff>
    </xdr:to>
    <xdr:sp macro="" textlink="">
      <xdr:nvSpPr>
        <xdr:cNvPr id="44" name="Полилиния 43"/>
        <xdr:cNvSpPr/>
      </xdr:nvSpPr>
      <xdr:spPr>
        <a:xfrm>
          <a:off x="1669677" y="18411265"/>
          <a:ext cx="649942" cy="168088"/>
        </a:xfrm>
        <a:custGeom>
          <a:avLst/>
          <a:gdLst>
            <a:gd name="connsiteX0" fmla="*/ 1042147 w 1042147"/>
            <a:gd name="connsiteY0" fmla="*/ 0 h 212912"/>
            <a:gd name="connsiteX1" fmla="*/ 739588 w 1042147"/>
            <a:gd name="connsiteY1" fmla="*/ 11206 h 212912"/>
            <a:gd name="connsiteX2" fmla="*/ 336176 w 1042147"/>
            <a:gd name="connsiteY2" fmla="*/ 56029 h 212912"/>
            <a:gd name="connsiteX3" fmla="*/ 0 w 1042147"/>
            <a:gd name="connsiteY3" fmla="*/ 212912 h 2129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042147" h="212912">
              <a:moveTo>
                <a:pt x="1042147" y="0"/>
              </a:moveTo>
              <a:cubicBezTo>
                <a:pt x="949698" y="934"/>
                <a:pt x="857250" y="1868"/>
                <a:pt x="739588" y="11206"/>
              </a:cubicBezTo>
              <a:cubicBezTo>
                <a:pt x="621926" y="20544"/>
                <a:pt x="459441" y="22411"/>
                <a:pt x="336176" y="56029"/>
              </a:cubicBezTo>
              <a:cubicBezTo>
                <a:pt x="212911" y="89647"/>
                <a:pt x="52294" y="181162"/>
                <a:pt x="0" y="212912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770694</xdr:colOff>
      <xdr:row>26</xdr:row>
      <xdr:rowOff>728382</xdr:rowOff>
    </xdr:from>
    <xdr:to>
      <xdr:col>3</xdr:col>
      <xdr:colOff>770694</xdr:colOff>
      <xdr:row>26</xdr:row>
      <xdr:rowOff>1404207</xdr:rowOff>
    </xdr:to>
    <xdr:cxnSp macro="">
      <xdr:nvCxnSpPr>
        <xdr:cNvPr id="167" name="Прямая со стрелкой 166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7106" y="19912853"/>
          <a:ext cx="0" cy="675825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740907</xdr:colOff>
      <xdr:row>26</xdr:row>
      <xdr:rowOff>1364098</xdr:rowOff>
    </xdr:from>
    <xdr:to>
      <xdr:col>3</xdr:col>
      <xdr:colOff>812907</xdr:colOff>
      <xdr:row>26</xdr:row>
      <xdr:rowOff>1436098</xdr:rowOff>
    </xdr:to>
    <xdr:sp macro="" textlink="">
      <xdr:nvSpPr>
        <xdr:cNvPr id="168" name="Овал 16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87319" y="20548569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129464</xdr:colOff>
      <xdr:row>26</xdr:row>
      <xdr:rowOff>517616</xdr:rowOff>
    </xdr:from>
    <xdr:to>
      <xdr:col>3</xdr:col>
      <xdr:colOff>1515561</xdr:colOff>
      <xdr:row>26</xdr:row>
      <xdr:rowOff>1047153</xdr:rowOff>
    </xdr:to>
    <xdr:sp macro="" textlink="">
      <xdr:nvSpPr>
        <xdr:cNvPr id="51" name="Полилиния 50"/>
        <xdr:cNvSpPr/>
      </xdr:nvSpPr>
      <xdr:spPr>
        <a:xfrm>
          <a:off x="1669677" y="19681105"/>
          <a:ext cx="1386097" cy="529537"/>
        </a:xfrm>
        <a:custGeom>
          <a:avLst/>
          <a:gdLst>
            <a:gd name="connsiteX0" fmla="*/ 1266264 w 1288330"/>
            <a:gd name="connsiteY0" fmla="*/ 16174 h 509233"/>
            <a:gd name="connsiteX1" fmla="*/ 1210235 w 1288330"/>
            <a:gd name="connsiteY1" fmla="*/ 16174 h 509233"/>
            <a:gd name="connsiteX2" fmla="*/ 627529 w 1288330"/>
            <a:gd name="connsiteY2" fmla="*/ 184262 h 509233"/>
            <a:gd name="connsiteX3" fmla="*/ 0 w 1288330"/>
            <a:gd name="connsiteY3" fmla="*/ 509233 h 509233"/>
            <a:gd name="connsiteX0" fmla="*/ 1210235 w 1210235"/>
            <a:gd name="connsiteY0" fmla="*/ 0 h 493059"/>
            <a:gd name="connsiteX1" fmla="*/ 627529 w 1210235"/>
            <a:gd name="connsiteY1" fmla="*/ 168088 h 493059"/>
            <a:gd name="connsiteX2" fmla="*/ 0 w 1210235"/>
            <a:gd name="connsiteY2" fmla="*/ 493059 h 493059"/>
            <a:gd name="connsiteX0" fmla="*/ 1339493 w 1339493"/>
            <a:gd name="connsiteY0" fmla="*/ 0 h 529537"/>
            <a:gd name="connsiteX1" fmla="*/ 627529 w 1339493"/>
            <a:gd name="connsiteY1" fmla="*/ 204566 h 529537"/>
            <a:gd name="connsiteX2" fmla="*/ 0 w 1339493"/>
            <a:gd name="connsiteY2" fmla="*/ 529537 h 529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39493" h="529537">
              <a:moveTo>
                <a:pt x="1339493" y="0"/>
              </a:moveTo>
              <a:cubicBezTo>
                <a:pt x="1233037" y="28015"/>
                <a:pt x="850778" y="116310"/>
                <a:pt x="627529" y="204566"/>
              </a:cubicBezTo>
              <a:cubicBezTo>
                <a:pt x="404280" y="292822"/>
                <a:pt x="212911" y="408140"/>
                <a:pt x="0" y="529537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108859</xdr:colOff>
      <xdr:row>27</xdr:row>
      <xdr:rowOff>734986</xdr:rowOff>
    </xdr:from>
    <xdr:to>
      <xdr:col>3</xdr:col>
      <xdr:colOff>1434791</xdr:colOff>
      <xdr:row>27</xdr:row>
      <xdr:rowOff>734986</xdr:rowOff>
    </xdr:to>
    <xdr:cxnSp macro="">
      <xdr:nvCxnSpPr>
        <xdr:cNvPr id="169" name="Прямая со стрелкой 16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5400000" flipH="1" flipV="1">
          <a:off x="2323039" y="20754877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728753</xdr:colOff>
      <xdr:row>27</xdr:row>
      <xdr:rowOff>1373211</xdr:rowOff>
    </xdr:from>
    <xdr:to>
      <xdr:col>3</xdr:col>
      <xdr:colOff>800753</xdr:colOff>
      <xdr:row>27</xdr:row>
      <xdr:rowOff>1445211</xdr:rowOff>
    </xdr:to>
    <xdr:sp macro="" textlink="">
      <xdr:nvSpPr>
        <xdr:cNvPr id="170" name="Овал 16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9967" y="220560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766395</xdr:colOff>
      <xdr:row>27</xdr:row>
      <xdr:rowOff>734787</xdr:rowOff>
    </xdr:from>
    <xdr:to>
      <xdr:col>3</xdr:col>
      <xdr:colOff>766395</xdr:colOff>
      <xdr:row>27</xdr:row>
      <xdr:rowOff>1438808</xdr:rowOff>
    </xdr:to>
    <xdr:cxnSp macro="">
      <xdr:nvCxnSpPr>
        <xdr:cNvPr id="171" name="Прямая соединительная линия 170"/>
        <xdr:cNvCxnSpPr/>
      </xdr:nvCxnSpPr>
      <xdr:spPr>
        <a:xfrm rot="16200000" flipH="1">
          <a:off x="1965598" y="21769655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772964</xdr:colOff>
      <xdr:row>28</xdr:row>
      <xdr:rowOff>87445</xdr:rowOff>
    </xdr:from>
    <xdr:to>
      <xdr:col>3</xdr:col>
      <xdr:colOff>772964</xdr:colOff>
      <xdr:row>28</xdr:row>
      <xdr:rowOff>1413377</xdr:rowOff>
    </xdr:to>
    <xdr:cxnSp macro="">
      <xdr:nvCxnSpPr>
        <xdr:cNvPr id="172" name="Прямая со стрелкой 17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10800000" flipV="1">
          <a:off x="2324178" y="22294302"/>
          <a:ext cx="0" cy="132593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740298</xdr:colOff>
      <xdr:row>28</xdr:row>
      <xdr:rowOff>1361666</xdr:rowOff>
    </xdr:from>
    <xdr:to>
      <xdr:col>3</xdr:col>
      <xdr:colOff>812298</xdr:colOff>
      <xdr:row>28</xdr:row>
      <xdr:rowOff>1433666</xdr:rowOff>
    </xdr:to>
    <xdr:sp macro="" textlink="">
      <xdr:nvSpPr>
        <xdr:cNvPr id="173" name="Овал 172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flipH="1">
          <a:off x="2291512" y="2356852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772766</xdr:colOff>
      <xdr:row>28</xdr:row>
      <xdr:rowOff>744981</xdr:rowOff>
    </xdr:from>
    <xdr:to>
      <xdr:col>3</xdr:col>
      <xdr:colOff>1476787</xdr:colOff>
      <xdr:row>28</xdr:row>
      <xdr:rowOff>744981</xdr:rowOff>
    </xdr:to>
    <xdr:cxnSp macro="">
      <xdr:nvCxnSpPr>
        <xdr:cNvPr id="174" name="Прямая соединительная линия 173"/>
        <xdr:cNvCxnSpPr/>
      </xdr:nvCxnSpPr>
      <xdr:spPr>
        <a:xfrm>
          <a:off x="2323980" y="22951838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108859</xdr:colOff>
      <xdr:row>29</xdr:row>
      <xdr:rowOff>734986</xdr:rowOff>
    </xdr:from>
    <xdr:to>
      <xdr:col>3</xdr:col>
      <xdr:colOff>1434791</xdr:colOff>
      <xdr:row>29</xdr:row>
      <xdr:rowOff>734986</xdr:rowOff>
    </xdr:to>
    <xdr:cxnSp macro="">
      <xdr:nvCxnSpPr>
        <xdr:cNvPr id="175" name="Прямая со стрелкой 174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5400000" flipH="1" flipV="1">
          <a:off x="2323039" y="23802877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728753</xdr:colOff>
      <xdr:row>29</xdr:row>
      <xdr:rowOff>1373211</xdr:rowOff>
    </xdr:from>
    <xdr:to>
      <xdr:col>3</xdr:col>
      <xdr:colOff>800753</xdr:colOff>
      <xdr:row>29</xdr:row>
      <xdr:rowOff>1445211</xdr:rowOff>
    </xdr:to>
    <xdr:sp macro="" textlink="">
      <xdr:nvSpPr>
        <xdr:cNvPr id="176" name="Овал 175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9967" y="25104068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766395</xdr:colOff>
      <xdr:row>29</xdr:row>
      <xdr:rowOff>95253</xdr:rowOff>
    </xdr:from>
    <xdr:to>
      <xdr:col>3</xdr:col>
      <xdr:colOff>766395</xdr:colOff>
      <xdr:row>29</xdr:row>
      <xdr:rowOff>1438808</xdr:rowOff>
    </xdr:to>
    <xdr:cxnSp macro="">
      <xdr:nvCxnSpPr>
        <xdr:cNvPr id="177" name="Прямая соединительная линия 176"/>
        <xdr:cNvCxnSpPr/>
      </xdr:nvCxnSpPr>
      <xdr:spPr>
        <a:xfrm>
          <a:off x="2317609" y="23826110"/>
          <a:ext cx="0" cy="1343555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108860</xdr:colOff>
      <xdr:row>31</xdr:row>
      <xdr:rowOff>721380</xdr:rowOff>
    </xdr:from>
    <xdr:to>
      <xdr:col>3</xdr:col>
      <xdr:colOff>1434792</xdr:colOff>
      <xdr:row>31</xdr:row>
      <xdr:rowOff>721380</xdr:rowOff>
    </xdr:to>
    <xdr:cxnSp macro="">
      <xdr:nvCxnSpPr>
        <xdr:cNvPr id="178" name="Прямая со стрелкой 17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rot="5400000" flipH="1" flipV="1">
          <a:off x="2323040" y="25313271"/>
          <a:ext cx="0" cy="1325932"/>
        </a:xfrm>
        <a:prstGeom prst="straightConnector1">
          <a:avLst/>
        </a:prstGeom>
        <a:ln w="19050"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728754</xdr:colOff>
      <xdr:row>31</xdr:row>
      <xdr:rowOff>1359605</xdr:rowOff>
    </xdr:from>
    <xdr:to>
      <xdr:col>3</xdr:col>
      <xdr:colOff>800754</xdr:colOff>
      <xdr:row>31</xdr:row>
      <xdr:rowOff>1431605</xdr:rowOff>
    </xdr:to>
    <xdr:sp macro="" textlink="">
      <xdr:nvSpPr>
        <xdr:cNvPr id="179" name="Овал 178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9968" y="2661446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766396</xdr:colOff>
      <xdr:row>31</xdr:row>
      <xdr:rowOff>721181</xdr:rowOff>
    </xdr:from>
    <xdr:to>
      <xdr:col>3</xdr:col>
      <xdr:colOff>766396</xdr:colOff>
      <xdr:row>31</xdr:row>
      <xdr:rowOff>1425202</xdr:rowOff>
    </xdr:to>
    <xdr:cxnSp macro="">
      <xdr:nvCxnSpPr>
        <xdr:cNvPr id="180" name="Прямая соединительная линия 179"/>
        <xdr:cNvCxnSpPr/>
      </xdr:nvCxnSpPr>
      <xdr:spPr>
        <a:xfrm rot="16200000" flipH="1">
          <a:off x="1965599" y="26328049"/>
          <a:ext cx="704021" cy="0"/>
        </a:xfrm>
        <a:prstGeom prst="line">
          <a:avLst/>
        </a:prstGeom>
        <a:ln w="19050">
          <a:solidFill>
            <a:schemeClr val="tx1"/>
          </a:solidFill>
          <a:prstDash val="solid"/>
          <a:tailEnd type="non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748565</xdr:colOff>
      <xdr:row>32</xdr:row>
      <xdr:rowOff>68036</xdr:rowOff>
    </xdr:from>
    <xdr:to>
      <xdr:col>3</xdr:col>
      <xdr:colOff>748565</xdr:colOff>
      <xdr:row>32</xdr:row>
      <xdr:rowOff>1357576</xdr:rowOff>
    </xdr:to>
    <xdr:cxnSp macro="">
      <xdr:nvCxnSpPr>
        <xdr:cNvPr id="181" name="Прямая со стрелкой 18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99779" y="26846893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707572</xdr:colOff>
      <xdr:row>32</xdr:row>
      <xdr:rowOff>1339880</xdr:rowOff>
    </xdr:from>
    <xdr:to>
      <xdr:col>3</xdr:col>
      <xdr:colOff>779572</xdr:colOff>
      <xdr:row>32</xdr:row>
      <xdr:rowOff>1411880</xdr:rowOff>
    </xdr:to>
    <xdr:sp macro="" textlink="">
      <xdr:nvSpPr>
        <xdr:cNvPr id="182" name="Овал 18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58786" y="28118737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748565</xdr:colOff>
      <xdr:row>39</xdr:row>
      <xdr:rowOff>81643</xdr:rowOff>
    </xdr:from>
    <xdr:to>
      <xdr:col>3</xdr:col>
      <xdr:colOff>748565</xdr:colOff>
      <xdr:row>39</xdr:row>
      <xdr:rowOff>1371183</xdr:rowOff>
    </xdr:to>
    <xdr:cxnSp macro="">
      <xdr:nvCxnSpPr>
        <xdr:cNvPr id="183" name="Прямая со стрелкой 18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299779" y="37528500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707572</xdr:colOff>
      <xdr:row>39</xdr:row>
      <xdr:rowOff>1353487</xdr:rowOff>
    </xdr:from>
    <xdr:to>
      <xdr:col>3</xdr:col>
      <xdr:colOff>779572</xdr:colOff>
      <xdr:row>39</xdr:row>
      <xdr:rowOff>1425487</xdr:rowOff>
    </xdr:to>
    <xdr:sp macro="" textlink="">
      <xdr:nvSpPr>
        <xdr:cNvPr id="184" name="Овал 18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58786" y="3880034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91924</xdr:colOff>
      <xdr:row>40</xdr:row>
      <xdr:rowOff>442006</xdr:rowOff>
    </xdr:from>
    <xdr:to>
      <xdr:col>3</xdr:col>
      <xdr:colOff>1463598</xdr:colOff>
      <xdr:row>40</xdr:row>
      <xdr:rowOff>1034548</xdr:rowOff>
    </xdr:to>
    <xdr:cxnSp macro="">
      <xdr:nvCxnSpPr>
        <xdr:cNvPr id="185" name="Прямая со стрелкой 184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>
          <a:off x="1634509" y="39415518"/>
          <a:ext cx="1371674" cy="592542"/>
        </a:xfrm>
        <a:prstGeom prst="straightConnector1">
          <a:avLst/>
        </a:prstGeom>
        <a:ln w="19050">
          <a:prstDash val="solid"/>
          <a:headEnd type="triangl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724339</xdr:colOff>
      <xdr:row>40</xdr:row>
      <xdr:rowOff>1400940</xdr:rowOff>
    </xdr:from>
    <xdr:to>
      <xdr:col>3</xdr:col>
      <xdr:colOff>796339</xdr:colOff>
      <xdr:row>40</xdr:row>
      <xdr:rowOff>1472940</xdr:rowOff>
    </xdr:to>
    <xdr:sp macro="" textlink="">
      <xdr:nvSpPr>
        <xdr:cNvPr id="186" name="Овал 18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 rot="6967939">
          <a:off x="2272152" y="44954003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952500</xdr:colOff>
      <xdr:row>19</xdr:row>
      <xdr:rowOff>108857</xdr:rowOff>
    </xdr:from>
    <xdr:to>
      <xdr:col>5</xdr:col>
      <xdr:colOff>173235</xdr:colOff>
      <xdr:row>19</xdr:row>
      <xdr:rowOff>718510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3" y="11647714"/>
          <a:ext cx="608663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809431</xdr:colOff>
      <xdr:row>41</xdr:row>
      <xdr:rowOff>661766</xdr:rowOff>
    </xdr:from>
    <xdr:to>
      <xdr:col>3</xdr:col>
      <xdr:colOff>1171904</xdr:colOff>
      <xdr:row>41</xdr:row>
      <xdr:rowOff>1079291</xdr:rowOff>
    </xdr:to>
    <xdr:sp macro="" textlink="">
      <xdr:nvSpPr>
        <xdr:cNvPr id="112" name="Полилиния 111"/>
        <xdr:cNvSpPr/>
      </xdr:nvSpPr>
      <xdr:spPr>
        <a:xfrm>
          <a:off x="2349996" y="51285070"/>
          <a:ext cx="362473" cy="417525"/>
        </a:xfrm>
        <a:custGeom>
          <a:avLst/>
          <a:gdLst>
            <a:gd name="connsiteX0" fmla="*/ 0 w 541421"/>
            <a:gd name="connsiteY0" fmla="*/ 447633 h 447633"/>
            <a:gd name="connsiteX1" fmla="*/ 55144 w 541421"/>
            <a:gd name="connsiteY1" fmla="*/ 176923 h 447633"/>
            <a:gd name="connsiteX2" fmla="*/ 150394 w 541421"/>
            <a:gd name="connsiteY2" fmla="*/ 36554 h 447633"/>
            <a:gd name="connsiteX3" fmla="*/ 345907 w 541421"/>
            <a:gd name="connsiteY3" fmla="*/ 1462 h 447633"/>
            <a:gd name="connsiteX4" fmla="*/ 541421 w 541421"/>
            <a:gd name="connsiteY4" fmla="*/ 71647 h 447633"/>
            <a:gd name="connsiteX0" fmla="*/ 0 w 345907"/>
            <a:gd name="connsiteY0" fmla="*/ 447633 h 447633"/>
            <a:gd name="connsiteX1" fmla="*/ 55144 w 345907"/>
            <a:gd name="connsiteY1" fmla="*/ 176923 h 447633"/>
            <a:gd name="connsiteX2" fmla="*/ 150394 w 345907"/>
            <a:gd name="connsiteY2" fmla="*/ 36554 h 447633"/>
            <a:gd name="connsiteX3" fmla="*/ 345907 w 345907"/>
            <a:gd name="connsiteY3" fmla="*/ 1462 h 447633"/>
            <a:gd name="connsiteX0" fmla="*/ 0 w 362473"/>
            <a:gd name="connsiteY0" fmla="*/ 417525 h 417525"/>
            <a:gd name="connsiteX1" fmla="*/ 55144 w 362473"/>
            <a:gd name="connsiteY1" fmla="*/ 146815 h 417525"/>
            <a:gd name="connsiteX2" fmla="*/ 150394 w 362473"/>
            <a:gd name="connsiteY2" fmla="*/ 6446 h 417525"/>
            <a:gd name="connsiteX3" fmla="*/ 362473 w 362473"/>
            <a:gd name="connsiteY3" fmla="*/ 62463 h 4175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62473" h="417525">
              <a:moveTo>
                <a:pt x="0" y="417525"/>
              </a:moveTo>
              <a:cubicBezTo>
                <a:pt x="15039" y="316426"/>
                <a:pt x="30078" y="215328"/>
                <a:pt x="55144" y="146815"/>
              </a:cubicBezTo>
              <a:cubicBezTo>
                <a:pt x="80210" y="78302"/>
                <a:pt x="101934" y="35689"/>
                <a:pt x="150394" y="6446"/>
              </a:cubicBezTo>
              <a:cubicBezTo>
                <a:pt x="198854" y="-22797"/>
                <a:pt x="297302" y="56614"/>
                <a:pt x="362473" y="62463"/>
              </a:cubicBez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952500</xdr:colOff>
      <xdr:row>6</xdr:row>
      <xdr:rowOff>609600</xdr:rowOff>
    </xdr:from>
    <xdr:to>
      <xdr:col>5</xdr:col>
      <xdr:colOff>95250</xdr:colOff>
      <xdr:row>6</xdr:row>
      <xdr:rowOff>1133475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4533900"/>
          <a:ext cx="523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561975</xdr:colOff>
      <xdr:row>9</xdr:row>
      <xdr:rowOff>581025</xdr:rowOff>
    </xdr:from>
    <xdr:to>
      <xdr:col>5</xdr:col>
      <xdr:colOff>681226</xdr:colOff>
      <xdr:row>9</xdr:row>
      <xdr:rowOff>971550</xdr:rowOff>
    </xdr:to>
    <xdr:sp macro="" textlink="">
      <xdr:nvSpPr>
        <xdr:cNvPr id="93" name="Прямоугольник 92"/>
        <xdr:cNvSpPr/>
      </xdr:nvSpPr>
      <xdr:spPr>
        <a:xfrm>
          <a:off x="3686175" y="9077325"/>
          <a:ext cx="1500376" cy="390525"/>
        </a:xfrm>
        <a:prstGeom prst="rect">
          <a:avLst/>
        </a:prstGeom>
        <a:solidFill>
          <a:srgbClr val="0070C0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600" b="1">
              <a:solidFill>
                <a:schemeClr val="bg1"/>
              </a:solidFill>
            </a:rPr>
            <a:t>???</a:t>
          </a:r>
          <a:r>
            <a:rPr lang="ru-RU" sz="1600" b="1">
              <a:solidFill>
                <a:schemeClr val="bg1"/>
              </a:solidFill>
            </a:rPr>
            <a:t>         2</a:t>
          </a:r>
        </a:p>
      </xdr:txBody>
    </xdr:sp>
    <xdr:clientData/>
  </xdr:twoCellAnchor>
  <xdr:twoCellAnchor>
    <xdr:from>
      <xdr:col>5</xdr:col>
      <xdr:colOff>415177</xdr:colOff>
      <xdr:row>9</xdr:row>
      <xdr:rowOff>699247</xdr:rowOff>
    </xdr:from>
    <xdr:to>
      <xdr:col>5</xdr:col>
      <xdr:colOff>573020</xdr:colOff>
      <xdr:row>9</xdr:row>
      <xdr:rowOff>885979</xdr:rowOff>
    </xdr:to>
    <xdr:sp macro="" textlink="">
      <xdr:nvSpPr>
        <xdr:cNvPr id="94" name="Стрелка вправо 93"/>
        <xdr:cNvSpPr/>
      </xdr:nvSpPr>
      <xdr:spPr>
        <a:xfrm>
          <a:off x="4920502" y="9195547"/>
          <a:ext cx="157843" cy="186732"/>
        </a:xfrm>
        <a:prstGeom prst="rightArrow">
          <a:avLst/>
        </a:prstGeom>
        <a:solidFill>
          <a:schemeClr val="bg1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116862</xdr:colOff>
      <xdr:row>22</xdr:row>
      <xdr:rowOff>145916</xdr:rowOff>
    </xdr:from>
    <xdr:to>
      <xdr:col>5</xdr:col>
      <xdr:colOff>231241</xdr:colOff>
      <xdr:row>22</xdr:row>
      <xdr:rowOff>536441</xdr:rowOff>
    </xdr:to>
    <xdr:sp macro="" textlink="">
      <xdr:nvSpPr>
        <xdr:cNvPr id="98" name="Прямоугольник 97"/>
        <xdr:cNvSpPr/>
      </xdr:nvSpPr>
      <xdr:spPr>
        <a:xfrm>
          <a:off x="3243303" y="20316504"/>
          <a:ext cx="1492703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ХИСЛАВИЧИ</a:t>
          </a:r>
        </a:p>
      </xdr:txBody>
    </xdr:sp>
    <xdr:clientData/>
  </xdr:twoCellAnchor>
  <xdr:twoCellAnchor>
    <xdr:from>
      <xdr:col>3</xdr:col>
      <xdr:colOff>822740</xdr:colOff>
      <xdr:row>22</xdr:row>
      <xdr:rowOff>76200</xdr:rowOff>
    </xdr:from>
    <xdr:to>
      <xdr:col>3</xdr:col>
      <xdr:colOff>822740</xdr:colOff>
      <xdr:row>22</xdr:row>
      <xdr:rowOff>1365740</xdr:rowOff>
    </xdr:to>
    <xdr:cxnSp macro="">
      <xdr:nvCxnSpPr>
        <xdr:cNvPr id="99" name="Прямая со стрелкой 98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65790" y="17716500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781747</xdr:colOff>
      <xdr:row>22</xdr:row>
      <xdr:rowOff>1348044</xdr:rowOff>
    </xdr:from>
    <xdr:to>
      <xdr:col>3</xdr:col>
      <xdr:colOff>853747</xdr:colOff>
      <xdr:row>22</xdr:row>
      <xdr:rowOff>1420044</xdr:rowOff>
    </xdr:to>
    <xdr:sp macro="" textlink="">
      <xdr:nvSpPr>
        <xdr:cNvPr id="100" name="Овал 9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24797" y="18988344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996419</xdr:colOff>
      <xdr:row>22</xdr:row>
      <xdr:rowOff>736855</xdr:rowOff>
    </xdr:from>
    <xdr:to>
      <xdr:col>3</xdr:col>
      <xdr:colOff>1068419</xdr:colOff>
      <xdr:row>22</xdr:row>
      <xdr:rowOff>808855</xdr:rowOff>
    </xdr:to>
    <xdr:sp macro="" textlink="">
      <xdr:nvSpPr>
        <xdr:cNvPr id="101" name="5-конечная звезда 100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539469" y="1837715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5</xdr:col>
      <xdr:colOff>372035</xdr:colOff>
      <xdr:row>22</xdr:row>
      <xdr:rowOff>555</xdr:rowOff>
    </xdr:from>
    <xdr:to>
      <xdr:col>5</xdr:col>
      <xdr:colOff>986810</xdr:colOff>
      <xdr:row>22</xdr:row>
      <xdr:rowOff>610208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20171143"/>
          <a:ext cx="614775" cy="609653"/>
        </a:xfrm>
        <a:prstGeom prst="rect">
          <a:avLst/>
        </a:prstGeom>
        <a:ln w="19050">
          <a:noFill/>
        </a:ln>
      </xdr:spPr>
    </xdr:pic>
    <xdr:clientData/>
  </xdr:twoCellAnchor>
  <xdr:twoCellAnchor>
    <xdr:from>
      <xdr:col>3</xdr:col>
      <xdr:colOff>876300</xdr:colOff>
      <xdr:row>29</xdr:row>
      <xdr:rowOff>847725</xdr:rowOff>
    </xdr:from>
    <xdr:to>
      <xdr:col>3</xdr:col>
      <xdr:colOff>948300</xdr:colOff>
      <xdr:row>29</xdr:row>
      <xdr:rowOff>919725</xdr:rowOff>
    </xdr:to>
    <xdr:sp macro="" textlink="">
      <xdr:nvSpPr>
        <xdr:cNvPr id="110" name="5-конечная звезда 10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19350" y="2763202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4</xdr:col>
      <xdr:colOff>971550</xdr:colOff>
      <xdr:row>29</xdr:row>
      <xdr:rowOff>419100</xdr:rowOff>
    </xdr:from>
    <xdr:to>
      <xdr:col>5</xdr:col>
      <xdr:colOff>291081</xdr:colOff>
      <xdr:row>29</xdr:row>
      <xdr:rowOff>1038225</xdr:rowOff>
    </xdr:to>
    <xdr:pic>
      <xdr:nvPicPr>
        <xdr:cNvPr id="111" name="Рисунок 110" descr="Картинки по запросу знак уступи дорогу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7203400"/>
          <a:ext cx="70065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728753</xdr:colOff>
      <xdr:row>30</xdr:row>
      <xdr:rowOff>1401786</xdr:rowOff>
    </xdr:from>
    <xdr:to>
      <xdr:col>3</xdr:col>
      <xdr:colOff>800753</xdr:colOff>
      <xdr:row>30</xdr:row>
      <xdr:rowOff>1473786</xdr:rowOff>
    </xdr:to>
    <xdr:sp macro="" textlink="">
      <xdr:nvSpPr>
        <xdr:cNvPr id="114" name="Овал 113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 rot="16200000">
          <a:off x="2271803" y="2971008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123825</xdr:colOff>
      <xdr:row>30</xdr:row>
      <xdr:rowOff>723900</xdr:rowOff>
    </xdr:from>
    <xdr:to>
      <xdr:col>3</xdr:col>
      <xdr:colOff>1466850</xdr:colOff>
      <xdr:row>30</xdr:row>
      <xdr:rowOff>790575</xdr:rowOff>
    </xdr:to>
    <xdr:sp macro="" textlink="">
      <xdr:nvSpPr>
        <xdr:cNvPr id="8" name="Полилиния 7"/>
        <xdr:cNvSpPr/>
      </xdr:nvSpPr>
      <xdr:spPr>
        <a:xfrm>
          <a:off x="1666875" y="29032200"/>
          <a:ext cx="1343025" cy="66675"/>
        </a:xfrm>
        <a:custGeom>
          <a:avLst/>
          <a:gdLst>
            <a:gd name="connsiteX0" fmla="*/ 1343025 w 1343025"/>
            <a:gd name="connsiteY0" fmla="*/ 66675 h 66675"/>
            <a:gd name="connsiteX1" fmla="*/ 609600 w 1343025"/>
            <a:gd name="connsiteY1" fmla="*/ 66675 h 66675"/>
            <a:gd name="connsiteX2" fmla="*/ 0 w 1343025"/>
            <a:gd name="connsiteY2" fmla="*/ 0 h 666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43025" h="66675">
              <a:moveTo>
                <a:pt x="1343025" y="66675"/>
              </a:moveTo>
              <a:lnTo>
                <a:pt x="609600" y="66675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/>
          </a:solidFill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762000</xdr:colOff>
      <xdr:row>30</xdr:row>
      <xdr:rowOff>76200</xdr:rowOff>
    </xdr:from>
    <xdr:to>
      <xdr:col>3</xdr:col>
      <xdr:colOff>847725</xdr:colOff>
      <xdr:row>30</xdr:row>
      <xdr:rowOff>1438275</xdr:rowOff>
    </xdr:to>
    <xdr:sp macro="" textlink="">
      <xdr:nvSpPr>
        <xdr:cNvPr id="9" name="Полилиния 8"/>
        <xdr:cNvSpPr/>
      </xdr:nvSpPr>
      <xdr:spPr>
        <a:xfrm>
          <a:off x="2305050" y="28384500"/>
          <a:ext cx="85725" cy="1362075"/>
        </a:xfrm>
        <a:custGeom>
          <a:avLst/>
          <a:gdLst>
            <a:gd name="connsiteX0" fmla="*/ 0 w 85725"/>
            <a:gd name="connsiteY0" fmla="*/ 1362075 h 1362075"/>
            <a:gd name="connsiteX1" fmla="*/ 0 w 85725"/>
            <a:gd name="connsiteY1" fmla="*/ 704850 h 1362075"/>
            <a:gd name="connsiteX2" fmla="*/ 85725 w 85725"/>
            <a:gd name="connsiteY2" fmla="*/ 0 h 13620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5725" h="1362075">
              <a:moveTo>
                <a:pt x="0" y="1362075"/>
              </a:moveTo>
              <a:lnTo>
                <a:pt x="0" y="704850"/>
              </a:lnTo>
              <a:lnTo>
                <a:pt x="85725" y="0"/>
              </a:ln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552450</xdr:colOff>
      <xdr:row>32</xdr:row>
      <xdr:rowOff>733425</xdr:rowOff>
    </xdr:from>
    <xdr:to>
      <xdr:col>3</xdr:col>
      <xdr:colOff>624450</xdr:colOff>
      <xdr:row>32</xdr:row>
      <xdr:rowOff>805425</xdr:rowOff>
    </xdr:to>
    <xdr:sp macro="" textlink="">
      <xdr:nvSpPr>
        <xdr:cNvPr id="143" name="5-конечная звезда 142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095500" y="3208972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4</xdr:col>
      <xdr:colOff>510423</xdr:colOff>
      <xdr:row>39</xdr:row>
      <xdr:rowOff>527129</xdr:rowOff>
    </xdr:from>
    <xdr:to>
      <xdr:col>5</xdr:col>
      <xdr:colOff>624802</xdr:colOff>
      <xdr:row>39</xdr:row>
      <xdr:rowOff>917654</xdr:rowOff>
    </xdr:to>
    <xdr:sp macro="" textlink="">
      <xdr:nvSpPr>
        <xdr:cNvPr id="144" name="Прямоугольник 143"/>
        <xdr:cNvSpPr/>
      </xdr:nvSpPr>
      <xdr:spPr>
        <a:xfrm>
          <a:off x="3640066" y="47117986"/>
          <a:ext cx="1502307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600" b="1">
              <a:solidFill>
                <a:sysClr val="windowText" lastClr="000000"/>
              </a:solidFill>
            </a:rPr>
            <a:t>ХИСЛАВИЧИ</a:t>
          </a:r>
        </a:p>
      </xdr:txBody>
    </xdr:sp>
    <xdr:clientData/>
  </xdr:twoCellAnchor>
  <xdr:twoCellAnchor>
    <xdr:from>
      <xdr:col>3</xdr:col>
      <xdr:colOff>563217</xdr:colOff>
      <xdr:row>39</xdr:row>
      <xdr:rowOff>728158</xdr:rowOff>
    </xdr:from>
    <xdr:to>
      <xdr:col>3</xdr:col>
      <xdr:colOff>635217</xdr:colOff>
      <xdr:row>39</xdr:row>
      <xdr:rowOff>800158</xdr:rowOff>
    </xdr:to>
    <xdr:sp macro="" textlink="">
      <xdr:nvSpPr>
        <xdr:cNvPr id="145" name="5-конечная звезда 14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103782" y="42737549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755591</xdr:colOff>
      <xdr:row>40</xdr:row>
      <xdr:rowOff>385141</xdr:rowOff>
    </xdr:from>
    <xdr:to>
      <xdr:col>3</xdr:col>
      <xdr:colOff>755591</xdr:colOff>
      <xdr:row>40</xdr:row>
      <xdr:rowOff>1434703</xdr:rowOff>
    </xdr:to>
    <xdr:cxnSp macro="">
      <xdr:nvCxnSpPr>
        <xdr:cNvPr id="148" name="Прямая со стрелкой 147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03404" y="43938204"/>
          <a:ext cx="0" cy="104956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755591</xdr:colOff>
      <xdr:row>40</xdr:row>
      <xdr:rowOff>22001</xdr:rowOff>
    </xdr:from>
    <xdr:to>
      <xdr:col>3</xdr:col>
      <xdr:colOff>755591</xdr:colOff>
      <xdr:row>40</xdr:row>
      <xdr:rowOff>357187</xdr:rowOff>
    </xdr:to>
    <xdr:cxnSp macro="">
      <xdr:nvCxnSpPr>
        <xdr:cNvPr id="159" name="Прямая со стрелкой 15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03404" y="43575064"/>
          <a:ext cx="0" cy="335186"/>
        </a:xfrm>
        <a:prstGeom prst="straightConnector1">
          <a:avLst/>
        </a:prstGeom>
        <a:ln w="19050">
          <a:prstDash val="sysDot"/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517071</xdr:colOff>
      <xdr:row>39</xdr:row>
      <xdr:rowOff>525236</xdr:rowOff>
    </xdr:from>
    <xdr:to>
      <xdr:col>5</xdr:col>
      <xdr:colOff>615042</xdr:colOff>
      <xdr:row>39</xdr:row>
      <xdr:rowOff>917121</xdr:rowOff>
    </xdr:to>
    <xdr:cxnSp macro="">
      <xdr:nvCxnSpPr>
        <xdr:cNvPr id="14" name="Прямая соединительная линия 13"/>
        <xdr:cNvCxnSpPr/>
      </xdr:nvCxnSpPr>
      <xdr:spPr>
        <a:xfrm flipV="1">
          <a:off x="3646714" y="47116093"/>
          <a:ext cx="1485899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78441</xdr:colOff>
      <xdr:row>23</xdr:row>
      <xdr:rowOff>608175</xdr:rowOff>
    </xdr:from>
    <xdr:to>
      <xdr:col>3</xdr:col>
      <xdr:colOff>1445559</xdr:colOff>
      <xdr:row>23</xdr:row>
      <xdr:rowOff>918882</xdr:rowOff>
    </xdr:to>
    <xdr:cxnSp macro="">
      <xdr:nvCxnSpPr>
        <xdr:cNvPr id="187" name="Прямая соединительная линия 186"/>
        <xdr:cNvCxnSpPr/>
      </xdr:nvCxnSpPr>
      <xdr:spPr>
        <a:xfrm flipH="1">
          <a:off x="1624853" y="22840646"/>
          <a:ext cx="1367118" cy="310707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747973</xdr:colOff>
      <xdr:row>23</xdr:row>
      <xdr:rowOff>1380965</xdr:rowOff>
    </xdr:from>
    <xdr:to>
      <xdr:col>3</xdr:col>
      <xdr:colOff>819973</xdr:colOff>
      <xdr:row>23</xdr:row>
      <xdr:rowOff>1452965</xdr:rowOff>
    </xdr:to>
    <xdr:sp macro="" textlink="">
      <xdr:nvSpPr>
        <xdr:cNvPr id="188" name="Овал 187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294385" y="23613436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705970</xdr:colOff>
      <xdr:row>23</xdr:row>
      <xdr:rowOff>78442</xdr:rowOff>
    </xdr:from>
    <xdr:to>
      <xdr:col>3</xdr:col>
      <xdr:colOff>784412</xdr:colOff>
      <xdr:row>23</xdr:row>
      <xdr:rowOff>1445560</xdr:rowOff>
    </xdr:to>
    <xdr:sp macro="" textlink="">
      <xdr:nvSpPr>
        <xdr:cNvPr id="10" name="Полилиния 9"/>
        <xdr:cNvSpPr/>
      </xdr:nvSpPr>
      <xdr:spPr>
        <a:xfrm>
          <a:off x="2252382" y="22310913"/>
          <a:ext cx="78442" cy="1367118"/>
        </a:xfrm>
        <a:custGeom>
          <a:avLst/>
          <a:gdLst>
            <a:gd name="connsiteX0" fmla="*/ 67236 w 67236"/>
            <a:gd name="connsiteY0" fmla="*/ 1232647 h 1232647"/>
            <a:gd name="connsiteX1" fmla="*/ 56030 w 67236"/>
            <a:gd name="connsiteY1" fmla="*/ 593912 h 1232647"/>
            <a:gd name="connsiteX2" fmla="*/ 0 w 67236"/>
            <a:gd name="connsiteY2" fmla="*/ 0 h 123264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67236" h="1232647">
              <a:moveTo>
                <a:pt x="67236" y="1232647"/>
              </a:moveTo>
              <a:cubicBezTo>
                <a:pt x="67236" y="1016000"/>
                <a:pt x="67236" y="799353"/>
                <a:pt x="56030" y="593912"/>
              </a:cubicBezTo>
              <a:cubicBezTo>
                <a:pt x="44824" y="388471"/>
                <a:pt x="22412" y="194235"/>
                <a:pt x="0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801412</xdr:colOff>
      <xdr:row>24</xdr:row>
      <xdr:rowOff>728382</xdr:rowOff>
    </xdr:from>
    <xdr:to>
      <xdr:col>3</xdr:col>
      <xdr:colOff>801412</xdr:colOff>
      <xdr:row>24</xdr:row>
      <xdr:rowOff>1377111</xdr:rowOff>
    </xdr:to>
    <xdr:cxnSp macro="">
      <xdr:nvCxnSpPr>
        <xdr:cNvPr id="189" name="Прямая со стрелкой 188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2347824" y="24484853"/>
          <a:ext cx="0" cy="648729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759179</xdr:colOff>
      <xdr:row>24</xdr:row>
      <xdr:rowOff>1362386</xdr:rowOff>
    </xdr:from>
    <xdr:to>
      <xdr:col>3</xdr:col>
      <xdr:colOff>831179</xdr:colOff>
      <xdr:row>24</xdr:row>
      <xdr:rowOff>1434386</xdr:rowOff>
    </xdr:to>
    <xdr:sp macro="" textlink="">
      <xdr:nvSpPr>
        <xdr:cNvPr id="190" name="Овал 189">
          <a:extLst>
            <a:ext uri="{FF2B5EF4-FFF2-40B4-BE49-F238E27FC236}">
              <a16:creationId xmlns:a16="http://schemas.microsoft.com/office/drawing/2014/main" id="{00000000-0008-0000-0900-00003A020000}"/>
            </a:ext>
          </a:extLst>
        </xdr:cNvPr>
        <xdr:cNvSpPr/>
      </xdr:nvSpPr>
      <xdr:spPr>
        <a:xfrm>
          <a:off x="2303232" y="2510470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800409</xdr:colOff>
      <xdr:row>24</xdr:row>
      <xdr:rowOff>147460</xdr:rowOff>
    </xdr:from>
    <xdr:to>
      <xdr:col>3</xdr:col>
      <xdr:colOff>1275686</xdr:colOff>
      <xdr:row>24</xdr:row>
      <xdr:rowOff>724662</xdr:rowOff>
    </xdr:to>
    <xdr:cxnSp macro="">
      <xdr:nvCxnSpPr>
        <xdr:cNvPr id="191" name="Прямая соединительная линия 190"/>
        <xdr:cNvCxnSpPr/>
      </xdr:nvCxnSpPr>
      <xdr:spPr>
        <a:xfrm flipV="1">
          <a:off x="2341727" y="23890687"/>
          <a:ext cx="475277" cy="577202"/>
        </a:xfrm>
        <a:prstGeom prst="line">
          <a:avLst/>
        </a:prstGeom>
        <a:ln w="19050">
          <a:solidFill>
            <a:schemeClr val="tx1"/>
          </a:solidFill>
          <a:prstDash val="solid"/>
          <a:tailEnd type="triangle" w="med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95376</xdr:colOff>
      <xdr:row>24</xdr:row>
      <xdr:rowOff>721506</xdr:rowOff>
    </xdr:from>
    <xdr:to>
      <xdr:col>3</xdr:col>
      <xdr:colOff>799947</xdr:colOff>
      <xdr:row>24</xdr:row>
      <xdr:rowOff>822158</xdr:rowOff>
    </xdr:to>
    <xdr:cxnSp macro="">
      <xdr:nvCxnSpPr>
        <xdr:cNvPr id="192" name="Прямая со стрелкой 191">
          <a:extLst>
            <a:ext uri="{FF2B5EF4-FFF2-40B4-BE49-F238E27FC236}">
              <a16:creationId xmlns:a16="http://schemas.microsoft.com/office/drawing/2014/main" id="{00000000-0008-0000-0900-00004B020000}"/>
            </a:ext>
          </a:extLst>
        </xdr:cNvPr>
        <xdr:cNvCxnSpPr/>
      </xdr:nvCxnSpPr>
      <xdr:spPr>
        <a:xfrm flipV="1">
          <a:off x="1639429" y="24463822"/>
          <a:ext cx="704571" cy="100652"/>
        </a:xfrm>
        <a:prstGeom prst="straightConnector1">
          <a:avLst/>
        </a:prstGeom>
        <a:ln w="19050">
          <a:headEnd type="none" w="med" len="lg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776236</xdr:colOff>
      <xdr:row>4</xdr:row>
      <xdr:rowOff>92048</xdr:rowOff>
    </xdr:from>
    <xdr:to>
      <xdr:col>3</xdr:col>
      <xdr:colOff>776236</xdr:colOff>
      <xdr:row>4</xdr:row>
      <xdr:rowOff>1381588</xdr:rowOff>
    </xdr:to>
    <xdr:cxnSp macro="">
      <xdr:nvCxnSpPr>
        <xdr:cNvPr id="193" name="Прямая со стрелкой 19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19286" y="90884348"/>
          <a:ext cx="0" cy="1289540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735243</xdr:colOff>
      <xdr:row>4</xdr:row>
      <xdr:rowOff>1363892</xdr:rowOff>
    </xdr:from>
    <xdr:to>
      <xdr:col>3</xdr:col>
      <xdr:colOff>807243</xdr:colOff>
      <xdr:row>4</xdr:row>
      <xdr:rowOff>1435892</xdr:rowOff>
    </xdr:to>
    <xdr:sp macro="" textlink="">
      <xdr:nvSpPr>
        <xdr:cNvPr id="194" name="Овал 193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278293" y="921561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938714</xdr:colOff>
      <xdr:row>4</xdr:row>
      <xdr:rowOff>741997</xdr:rowOff>
    </xdr:from>
    <xdr:to>
      <xdr:col>3</xdr:col>
      <xdr:colOff>1010714</xdr:colOff>
      <xdr:row>4</xdr:row>
      <xdr:rowOff>813997</xdr:rowOff>
    </xdr:to>
    <xdr:sp macro="" textlink="">
      <xdr:nvSpPr>
        <xdr:cNvPr id="195" name="5-конечная звезда 194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81764" y="91534297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526682</xdr:colOff>
      <xdr:row>4</xdr:row>
      <xdr:rowOff>749324</xdr:rowOff>
    </xdr:from>
    <xdr:to>
      <xdr:col>3</xdr:col>
      <xdr:colOff>598682</xdr:colOff>
      <xdr:row>4</xdr:row>
      <xdr:rowOff>821324</xdr:rowOff>
    </xdr:to>
    <xdr:sp macro="" textlink="">
      <xdr:nvSpPr>
        <xdr:cNvPr id="196" name="5-конечная звезда 195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069732" y="91541624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1157654</xdr:colOff>
      <xdr:row>4</xdr:row>
      <xdr:rowOff>776654</xdr:rowOff>
    </xdr:from>
    <xdr:to>
      <xdr:col>3</xdr:col>
      <xdr:colOff>1157654</xdr:colOff>
      <xdr:row>4</xdr:row>
      <xdr:rowOff>776654</xdr:rowOff>
    </xdr:to>
    <xdr:cxnSp macro="">
      <xdr:nvCxnSpPr>
        <xdr:cNvPr id="197" name="Прямая соединительная линия 196"/>
        <xdr:cNvCxnSpPr/>
      </xdr:nvCxnSpPr>
      <xdr:spPr>
        <a:xfrm>
          <a:off x="2700704" y="91568954"/>
          <a:ext cx="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1168860</xdr:colOff>
      <xdr:row>4</xdr:row>
      <xdr:rowOff>835270</xdr:rowOff>
    </xdr:from>
    <xdr:to>
      <xdr:col>3</xdr:col>
      <xdr:colOff>1530810</xdr:colOff>
      <xdr:row>4</xdr:row>
      <xdr:rowOff>1066251</xdr:rowOff>
    </xdr:to>
    <xdr:grpSp>
      <xdr:nvGrpSpPr>
        <xdr:cNvPr id="198" name="Группа 197"/>
        <xdr:cNvGrpSpPr/>
      </xdr:nvGrpSpPr>
      <xdr:grpSpPr>
        <a:xfrm>
          <a:off x="2715272" y="1731741"/>
          <a:ext cx="361950" cy="230981"/>
          <a:chOff x="2631156" y="1513048"/>
          <a:chExt cx="361950" cy="230981"/>
        </a:xfrm>
      </xdr:grpSpPr>
      <xdr:sp macro="" textlink="">
        <xdr:nvSpPr>
          <xdr:cNvPr id="199" name="Полилиния 198"/>
          <xdr:cNvSpPr/>
        </xdr:nvSpPr>
        <xdr:spPr>
          <a:xfrm>
            <a:off x="2631156" y="1513048"/>
            <a:ext cx="361950" cy="230981"/>
          </a:xfrm>
          <a:custGeom>
            <a:avLst/>
            <a:gdLst>
              <a:gd name="connsiteX0" fmla="*/ 0 w 361950"/>
              <a:gd name="connsiteY0" fmla="*/ 0 h 230981"/>
              <a:gd name="connsiteX1" fmla="*/ 361950 w 361950"/>
              <a:gd name="connsiteY1" fmla="*/ 0 h 230981"/>
              <a:gd name="connsiteX2" fmla="*/ 361950 w 361950"/>
              <a:gd name="connsiteY2" fmla="*/ 230981 h 230981"/>
              <a:gd name="connsiteX3" fmla="*/ 2382 w 361950"/>
              <a:gd name="connsiteY3" fmla="*/ 230981 h 230981"/>
              <a:gd name="connsiteX4" fmla="*/ 0 w 361950"/>
              <a:gd name="connsiteY4" fmla="*/ 0 h 23098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61950" h="230981">
                <a:moveTo>
                  <a:pt x="0" y="0"/>
                </a:moveTo>
                <a:lnTo>
                  <a:pt x="361950" y="0"/>
                </a:lnTo>
                <a:lnTo>
                  <a:pt x="361950" y="230981"/>
                </a:lnTo>
                <a:lnTo>
                  <a:pt x="2382" y="230981"/>
                </a:lnTo>
                <a:lnTo>
                  <a:pt x="0" y="0"/>
                </a:lnTo>
                <a:close/>
              </a:path>
            </a:pathLst>
          </a:custGeom>
          <a:solidFill>
            <a:schemeClr val="accent2">
              <a:lumMod val="60000"/>
              <a:lumOff val="40000"/>
            </a:schemeClr>
          </a:solidFill>
          <a:ln w="19050">
            <a:solidFill>
              <a:srgbClr val="FF0000"/>
            </a:solidFill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cxnSp macro="">
        <xdr:nvCxnSpPr>
          <xdr:cNvPr id="200" name="Прямая соединительная линия 199"/>
          <xdr:cNvCxnSpPr>
            <a:stCxn id="199" idx="0"/>
            <a:endCxn id="199" idx="2"/>
          </xdr:cNvCxnSpPr>
        </xdr:nvCxnSpPr>
        <xdr:spPr>
          <a:xfrm>
            <a:off x="2631156" y="1513048"/>
            <a:ext cx="361950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1" name="Прямая соединительная линия 200"/>
          <xdr:cNvCxnSpPr>
            <a:stCxn id="199" idx="1"/>
            <a:endCxn id="199" idx="3"/>
          </xdr:cNvCxnSpPr>
        </xdr:nvCxnSpPr>
        <xdr:spPr>
          <a:xfrm flipH="1">
            <a:off x="2633538" y="1513048"/>
            <a:ext cx="359568" cy="2309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776654</xdr:colOff>
      <xdr:row>4</xdr:row>
      <xdr:rowOff>674076</xdr:rowOff>
    </xdr:from>
    <xdr:to>
      <xdr:col>3</xdr:col>
      <xdr:colOff>1077058</xdr:colOff>
      <xdr:row>4</xdr:row>
      <xdr:rowOff>674076</xdr:rowOff>
    </xdr:to>
    <xdr:cxnSp macro="">
      <xdr:nvCxnSpPr>
        <xdr:cNvPr id="202" name="Прямая соединительная линия 201"/>
        <xdr:cNvCxnSpPr/>
      </xdr:nvCxnSpPr>
      <xdr:spPr>
        <a:xfrm>
          <a:off x="2319704" y="91466376"/>
          <a:ext cx="300404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1072226</xdr:colOff>
      <xdr:row>4</xdr:row>
      <xdr:rowOff>485391</xdr:rowOff>
    </xdr:from>
    <xdr:to>
      <xdr:col>3</xdr:col>
      <xdr:colOff>1123605</xdr:colOff>
      <xdr:row>4</xdr:row>
      <xdr:rowOff>865870</xdr:rowOff>
    </xdr:to>
    <xdr:grpSp>
      <xdr:nvGrpSpPr>
        <xdr:cNvPr id="203" name="Группа 202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GrpSpPr/>
      </xdr:nvGrpSpPr>
      <xdr:grpSpPr>
        <a:xfrm rot="-5400000">
          <a:off x="2454088" y="1546412"/>
          <a:ext cx="380479" cy="51379"/>
          <a:chOff x="744834" y="5046016"/>
          <a:chExt cx="380479" cy="51379"/>
        </a:xfrm>
      </xdr:grpSpPr>
      <xdr:cxnSp macro="">
        <xdr:nvCxnSpPr>
          <xdr:cNvPr id="204" name="Прямая со стрелкой 203">
            <a:extLst>
              <a:ext uri="{FF2B5EF4-FFF2-40B4-BE49-F238E27FC236}">
                <a16:creationId xmlns:a16="http://schemas.microsoft.com/office/drawing/2014/main" id="{00000000-0008-0000-0600-00003E000000}"/>
              </a:ext>
            </a:extLst>
          </xdr:cNvPr>
          <xdr:cNvCxnSpPr/>
        </xdr:nvCxnSpPr>
        <xdr:spPr>
          <a:xfrm flipH="1">
            <a:off x="797770" y="5076837"/>
            <a:ext cx="116554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05" name="Овал 204">
            <a:extLst>
              <a:ext uri="{FF2B5EF4-FFF2-40B4-BE49-F238E27FC236}">
                <a16:creationId xmlns:a16="http://schemas.microsoft.com/office/drawing/2014/main" id="{00000000-0008-0000-0600-00003F000000}"/>
              </a:ext>
            </a:extLst>
          </xdr:cNvPr>
          <xdr:cNvSpPr/>
        </xdr:nvSpPr>
        <xdr:spPr>
          <a:xfrm>
            <a:off x="744834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206" name="Овал 205">
            <a:extLst>
              <a:ext uri="{FF2B5EF4-FFF2-40B4-BE49-F238E27FC236}">
                <a16:creationId xmlns:a16="http://schemas.microsoft.com/office/drawing/2014/main" id="{00000000-0008-0000-0600-000040000000}"/>
              </a:ext>
            </a:extLst>
          </xdr:cNvPr>
          <xdr:cNvSpPr/>
        </xdr:nvSpPr>
        <xdr:spPr>
          <a:xfrm>
            <a:off x="1078513" y="5046016"/>
            <a:ext cx="46800" cy="51379"/>
          </a:xfrm>
          <a:prstGeom prst="ellipse">
            <a:avLst/>
          </a:prstGeom>
          <a:solidFill>
            <a:schemeClr val="bg1"/>
          </a:solidFill>
          <a:ln w="19050">
            <a:solidFill>
              <a:schemeClr val="tx1"/>
            </a:solidFill>
            <a:prstDash val="solid"/>
            <a:tailEnd type="none" w="med" len="lg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clip" horzOverflow="clip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ru-RU" sz="1000" b="1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cxnSp macro="">
        <xdr:nvCxnSpPr>
          <xdr:cNvPr id="207" name="Прямая со стрелкой 206">
            <a:extLst>
              <a:ext uri="{FF2B5EF4-FFF2-40B4-BE49-F238E27FC236}">
                <a16:creationId xmlns:a16="http://schemas.microsoft.com/office/drawing/2014/main" id="{00000000-0008-0000-0600-000041000000}"/>
              </a:ext>
            </a:extLst>
          </xdr:cNvPr>
          <xdr:cNvCxnSpPr/>
        </xdr:nvCxnSpPr>
        <xdr:spPr>
          <a:xfrm flipH="1">
            <a:off x="954671" y="5076837"/>
            <a:ext cx="119572" cy="0"/>
          </a:xfrm>
          <a:prstGeom prst="straightConnector1">
            <a:avLst/>
          </a:prstGeom>
          <a:ln w="19050">
            <a:tailEnd type="none" w="med" len="lg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503464</xdr:colOff>
      <xdr:row>5</xdr:row>
      <xdr:rowOff>587001</xdr:rowOff>
    </xdr:from>
    <xdr:to>
      <xdr:col>5</xdr:col>
      <xdr:colOff>608239</xdr:colOff>
      <xdr:row>5</xdr:row>
      <xdr:rowOff>977526</xdr:rowOff>
    </xdr:to>
    <xdr:sp macro="" textlink="">
      <xdr:nvSpPr>
        <xdr:cNvPr id="208" name="Прямоугольник 207"/>
        <xdr:cNvSpPr/>
      </xdr:nvSpPr>
      <xdr:spPr>
        <a:xfrm>
          <a:off x="3633107" y="2981858"/>
          <a:ext cx="1492703" cy="390525"/>
        </a:xfrm>
        <a:prstGeom prst="rect">
          <a:avLst/>
        </a:prstGeom>
        <a:solidFill>
          <a:schemeClr val="bg1"/>
        </a:solidFill>
        <a:ln w="19050">
          <a:solidFill>
            <a:schemeClr val="dk1">
              <a:shade val="95000"/>
              <a:satMod val="105000"/>
            </a:schemeClr>
          </a:solidFill>
          <a:prstDash val="dash"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endParaRPr lang="ru-RU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510112</xdr:colOff>
      <xdr:row>5</xdr:row>
      <xdr:rowOff>585108</xdr:rowOff>
    </xdr:from>
    <xdr:to>
      <xdr:col>5</xdr:col>
      <xdr:colOff>598479</xdr:colOff>
      <xdr:row>5</xdr:row>
      <xdr:rowOff>976993</xdr:rowOff>
    </xdr:to>
    <xdr:cxnSp macro="">
      <xdr:nvCxnSpPr>
        <xdr:cNvPr id="209" name="Прямая соединительная линия 208"/>
        <xdr:cNvCxnSpPr/>
      </xdr:nvCxnSpPr>
      <xdr:spPr>
        <a:xfrm flipV="1">
          <a:off x="3639755" y="2979965"/>
          <a:ext cx="1476295" cy="39188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894412</xdr:colOff>
      <xdr:row>9</xdr:row>
      <xdr:rowOff>882264</xdr:rowOff>
    </xdr:from>
    <xdr:to>
      <xdr:col>3</xdr:col>
      <xdr:colOff>966412</xdr:colOff>
      <xdr:row>9</xdr:row>
      <xdr:rowOff>954264</xdr:rowOff>
    </xdr:to>
    <xdr:sp macro="" textlink="">
      <xdr:nvSpPr>
        <xdr:cNvPr id="210" name="5-конечная звезда 209">
          <a:extLst>
            <a:ext uri="{FF2B5EF4-FFF2-40B4-BE49-F238E27FC236}">
              <a16:creationId xmlns:a16="http://schemas.microsoft.com/office/drawing/2014/main" id="{00000000-0008-0000-0900-0000E5010000}"/>
            </a:ext>
          </a:extLst>
        </xdr:cNvPr>
        <xdr:cNvSpPr/>
      </xdr:nvSpPr>
      <xdr:spPr>
        <a:xfrm>
          <a:off x="2440824" y="939873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11</xdr:row>
      <xdr:rowOff>24545</xdr:rowOff>
    </xdr:from>
    <xdr:to>
      <xdr:col>3</xdr:col>
      <xdr:colOff>802515</xdr:colOff>
      <xdr:row>11</xdr:row>
      <xdr:rowOff>273844</xdr:rowOff>
    </xdr:to>
    <xdr:cxnSp macro="">
      <xdr:nvCxnSpPr>
        <xdr:cNvPr id="211" name="Прямая со стрелкой 210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221670"/>
          <a:ext cx="0" cy="249299"/>
        </a:xfrm>
        <a:prstGeom prst="straightConnector1">
          <a:avLst/>
        </a:prstGeom>
        <a:ln w="19050">
          <a:prstDash val="sysDot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11</xdr:row>
      <xdr:rowOff>399217</xdr:rowOff>
    </xdr:from>
    <xdr:to>
      <xdr:col>3</xdr:col>
      <xdr:colOff>839475</xdr:colOff>
      <xdr:row>11</xdr:row>
      <xdr:rowOff>471217</xdr:rowOff>
    </xdr:to>
    <xdr:sp macro="" textlink="">
      <xdr:nvSpPr>
        <xdr:cNvPr id="212" name="Овал 211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359634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11</xdr:row>
      <xdr:rowOff>273304</xdr:rowOff>
    </xdr:from>
    <xdr:to>
      <xdr:col>3</xdr:col>
      <xdr:colOff>802515</xdr:colOff>
      <xdr:row>11</xdr:row>
      <xdr:rowOff>440531</xdr:rowOff>
    </xdr:to>
    <xdr:cxnSp macro="">
      <xdr:nvCxnSpPr>
        <xdr:cNvPr id="213" name="Прямая со стрелкой 212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5565" y="53470429"/>
          <a:ext cx="0" cy="167227"/>
        </a:xfrm>
        <a:prstGeom prst="straightConnector1">
          <a:avLst/>
        </a:prstGeom>
        <a:ln w="19050">
          <a:prstDash val="solid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623510</xdr:colOff>
      <xdr:row>12</xdr:row>
      <xdr:rowOff>58615</xdr:rowOff>
    </xdr:from>
    <xdr:to>
      <xdr:col>3</xdr:col>
      <xdr:colOff>793168</xdr:colOff>
      <xdr:row>12</xdr:row>
      <xdr:rowOff>449098</xdr:rowOff>
    </xdr:to>
    <xdr:sp macro="" textlink="">
      <xdr:nvSpPr>
        <xdr:cNvPr id="214" name="Полилиния 213"/>
        <xdr:cNvSpPr/>
      </xdr:nvSpPr>
      <xdr:spPr>
        <a:xfrm flipH="1">
          <a:off x="2169922" y="12127350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759421</xdr:colOff>
      <xdr:row>12</xdr:row>
      <xdr:rowOff>397630</xdr:rowOff>
    </xdr:from>
    <xdr:to>
      <xdr:col>3</xdr:col>
      <xdr:colOff>831421</xdr:colOff>
      <xdr:row>12</xdr:row>
      <xdr:rowOff>469630</xdr:rowOff>
    </xdr:to>
    <xdr:sp macro="" textlink="">
      <xdr:nvSpPr>
        <xdr:cNvPr id="216" name="Овал 215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2471" y="56118880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623510</xdr:colOff>
      <xdr:row>13</xdr:row>
      <xdr:rowOff>58615</xdr:rowOff>
    </xdr:from>
    <xdr:to>
      <xdr:col>3</xdr:col>
      <xdr:colOff>793168</xdr:colOff>
      <xdr:row>13</xdr:row>
      <xdr:rowOff>449098</xdr:rowOff>
    </xdr:to>
    <xdr:sp macro="" textlink="">
      <xdr:nvSpPr>
        <xdr:cNvPr id="217" name="Полилиния 216"/>
        <xdr:cNvSpPr/>
      </xdr:nvSpPr>
      <xdr:spPr>
        <a:xfrm flipH="1">
          <a:off x="2169922" y="12127350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ysDot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759421</xdr:colOff>
      <xdr:row>13</xdr:row>
      <xdr:rowOff>397630</xdr:rowOff>
    </xdr:from>
    <xdr:to>
      <xdr:col>3</xdr:col>
      <xdr:colOff>831421</xdr:colOff>
      <xdr:row>13</xdr:row>
      <xdr:rowOff>469630</xdr:rowOff>
    </xdr:to>
    <xdr:sp macro="" textlink="">
      <xdr:nvSpPr>
        <xdr:cNvPr id="218" name="Овал 21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05833" y="12466365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14</xdr:row>
      <xdr:rowOff>24545</xdr:rowOff>
    </xdr:from>
    <xdr:to>
      <xdr:col>3</xdr:col>
      <xdr:colOff>802515</xdr:colOff>
      <xdr:row>14</xdr:row>
      <xdr:rowOff>273844</xdr:rowOff>
    </xdr:to>
    <xdr:cxnSp macro="">
      <xdr:nvCxnSpPr>
        <xdr:cNvPr id="222" name="Прямая со стрелкой 221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8927" y="13101810"/>
          <a:ext cx="0" cy="249299"/>
        </a:xfrm>
        <a:prstGeom prst="straightConnector1">
          <a:avLst/>
        </a:prstGeom>
        <a:ln w="19050">
          <a:prstDash val="solid"/>
          <a:tailEnd type="triangl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14</xdr:row>
      <xdr:rowOff>399217</xdr:rowOff>
    </xdr:from>
    <xdr:to>
      <xdr:col>3</xdr:col>
      <xdr:colOff>839475</xdr:colOff>
      <xdr:row>14</xdr:row>
      <xdr:rowOff>471217</xdr:rowOff>
    </xdr:to>
    <xdr:sp macro="" textlink="">
      <xdr:nvSpPr>
        <xdr:cNvPr id="223" name="Овал 222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3887" y="1347648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802515</xdr:colOff>
      <xdr:row>14</xdr:row>
      <xdr:rowOff>273304</xdr:rowOff>
    </xdr:from>
    <xdr:to>
      <xdr:col>3</xdr:col>
      <xdr:colOff>802515</xdr:colOff>
      <xdr:row>14</xdr:row>
      <xdr:rowOff>440531</xdr:rowOff>
    </xdr:to>
    <xdr:cxnSp macro="">
      <xdr:nvCxnSpPr>
        <xdr:cNvPr id="224" name="Прямая со стрелкой 223">
          <a:extLst>
            <a:ext uri="{FF2B5EF4-FFF2-40B4-BE49-F238E27FC236}">
              <a16:creationId xmlns:a16="http://schemas.microsoft.com/office/drawing/2014/main" id="{00000000-0008-0000-0900-000033020000}"/>
            </a:ext>
          </a:extLst>
        </xdr:cNvPr>
        <xdr:cNvCxnSpPr/>
      </xdr:nvCxnSpPr>
      <xdr:spPr>
        <a:xfrm flipV="1">
          <a:off x="2348927" y="13350569"/>
          <a:ext cx="0" cy="167227"/>
        </a:xfrm>
        <a:prstGeom prst="straightConnector1">
          <a:avLst/>
        </a:prstGeom>
        <a:ln w="19050">
          <a:prstDash val="sysDot"/>
          <a:tailEnd type="none" w="med" len="lg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767475</xdr:colOff>
      <xdr:row>15</xdr:row>
      <xdr:rowOff>399217</xdr:rowOff>
    </xdr:from>
    <xdr:to>
      <xdr:col>3</xdr:col>
      <xdr:colOff>839475</xdr:colOff>
      <xdr:row>15</xdr:row>
      <xdr:rowOff>471217</xdr:rowOff>
    </xdr:to>
    <xdr:sp macro="" textlink="">
      <xdr:nvSpPr>
        <xdr:cNvPr id="228" name="Овал 227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0525" y="56625292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767475</xdr:colOff>
      <xdr:row>16</xdr:row>
      <xdr:rowOff>399217</xdr:rowOff>
    </xdr:from>
    <xdr:to>
      <xdr:col>3</xdr:col>
      <xdr:colOff>839475</xdr:colOff>
      <xdr:row>16</xdr:row>
      <xdr:rowOff>471217</xdr:rowOff>
    </xdr:to>
    <xdr:sp macro="" textlink="">
      <xdr:nvSpPr>
        <xdr:cNvPr id="230" name="Овал 22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3887" y="1448501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634716</xdr:colOff>
      <xdr:row>15</xdr:row>
      <xdr:rowOff>47410</xdr:rowOff>
    </xdr:from>
    <xdr:to>
      <xdr:col>3</xdr:col>
      <xdr:colOff>804374</xdr:colOff>
      <xdr:row>15</xdr:row>
      <xdr:rowOff>437893</xdr:rowOff>
    </xdr:to>
    <xdr:sp macro="" textlink="">
      <xdr:nvSpPr>
        <xdr:cNvPr id="215" name="Полилиния 214"/>
        <xdr:cNvSpPr/>
      </xdr:nvSpPr>
      <xdr:spPr>
        <a:xfrm flipH="1">
          <a:off x="2181128" y="13628939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767475</xdr:colOff>
      <xdr:row>18</xdr:row>
      <xdr:rowOff>399217</xdr:rowOff>
    </xdr:from>
    <xdr:to>
      <xdr:col>3</xdr:col>
      <xdr:colOff>839475</xdr:colOff>
      <xdr:row>18</xdr:row>
      <xdr:rowOff>471217</xdr:rowOff>
    </xdr:to>
    <xdr:sp macro="" textlink="">
      <xdr:nvSpPr>
        <xdr:cNvPr id="220" name="Овал 219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3887" y="1448501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767475</xdr:colOff>
      <xdr:row>17</xdr:row>
      <xdr:rowOff>399217</xdr:rowOff>
    </xdr:from>
    <xdr:to>
      <xdr:col>3</xdr:col>
      <xdr:colOff>839475</xdr:colOff>
      <xdr:row>17</xdr:row>
      <xdr:rowOff>471217</xdr:rowOff>
    </xdr:to>
    <xdr:sp macro="" textlink="">
      <xdr:nvSpPr>
        <xdr:cNvPr id="231" name="Овал 230">
          <a:extLst>
            <a:ext uri="{FF2B5EF4-FFF2-40B4-BE49-F238E27FC236}">
              <a16:creationId xmlns:a16="http://schemas.microsoft.com/office/drawing/2014/main" id="{00000000-0008-0000-0900-000034020000}"/>
            </a:ext>
          </a:extLst>
        </xdr:cNvPr>
        <xdr:cNvSpPr/>
      </xdr:nvSpPr>
      <xdr:spPr>
        <a:xfrm>
          <a:off x="2313887" y="15493541"/>
          <a:ext cx="72000" cy="72000"/>
        </a:xfrm>
        <a:prstGeom prst="ellipse">
          <a:avLst/>
        </a:prstGeom>
        <a:solidFill>
          <a:schemeClr val="tx1"/>
        </a:solidFill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802806</xdr:colOff>
      <xdr:row>16</xdr:row>
      <xdr:rowOff>47410</xdr:rowOff>
    </xdr:from>
    <xdr:to>
      <xdr:col>3</xdr:col>
      <xdr:colOff>972464</xdr:colOff>
      <xdr:row>16</xdr:row>
      <xdr:rowOff>437893</xdr:rowOff>
    </xdr:to>
    <xdr:sp macro="" textlink="">
      <xdr:nvSpPr>
        <xdr:cNvPr id="232" name="Полилиния 231"/>
        <xdr:cNvSpPr/>
      </xdr:nvSpPr>
      <xdr:spPr>
        <a:xfrm>
          <a:off x="2349218" y="14133204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634716</xdr:colOff>
      <xdr:row>17</xdr:row>
      <xdr:rowOff>69821</xdr:rowOff>
    </xdr:from>
    <xdr:to>
      <xdr:col>3</xdr:col>
      <xdr:colOff>804374</xdr:colOff>
      <xdr:row>17</xdr:row>
      <xdr:rowOff>460304</xdr:rowOff>
    </xdr:to>
    <xdr:sp macro="" textlink="">
      <xdr:nvSpPr>
        <xdr:cNvPr id="233" name="Полилиния 232"/>
        <xdr:cNvSpPr/>
      </xdr:nvSpPr>
      <xdr:spPr>
        <a:xfrm flipH="1">
          <a:off x="2181128" y="14659880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634716</xdr:colOff>
      <xdr:row>18</xdr:row>
      <xdr:rowOff>36203</xdr:rowOff>
    </xdr:from>
    <xdr:to>
      <xdr:col>3</xdr:col>
      <xdr:colOff>804374</xdr:colOff>
      <xdr:row>18</xdr:row>
      <xdr:rowOff>426686</xdr:rowOff>
    </xdr:to>
    <xdr:sp macro="" textlink="">
      <xdr:nvSpPr>
        <xdr:cNvPr id="234" name="Полилиния 233"/>
        <xdr:cNvSpPr/>
      </xdr:nvSpPr>
      <xdr:spPr>
        <a:xfrm flipH="1">
          <a:off x="2181128" y="15130527"/>
          <a:ext cx="169658" cy="390483"/>
        </a:xfrm>
        <a:custGeom>
          <a:avLst/>
          <a:gdLst>
            <a:gd name="connsiteX0" fmla="*/ 4018 w 530695"/>
            <a:gd name="connsiteY0" fmla="*/ 1221441 h 1221441"/>
            <a:gd name="connsiteX1" fmla="*/ 15224 w 530695"/>
            <a:gd name="connsiteY1" fmla="*/ 762000 h 1221441"/>
            <a:gd name="connsiteX2" fmla="*/ 127283 w 530695"/>
            <a:gd name="connsiteY2" fmla="*/ 515471 h 1221441"/>
            <a:gd name="connsiteX3" fmla="*/ 351401 w 530695"/>
            <a:gd name="connsiteY3" fmla="*/ 212912 h 1221441"/>
            <a:gd name="connsiteX4" fmla="*/ 530695 w 530695"/>
            <a:gd name="connsiteY4" fmla="*/ 0 h 12214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0695" h="1221441">
              <a:moveTo>
                <a:pt x="4018" y="1221441"/>
              </a:moveTo>
              <a:cubicBezTo>
                <a:pt x="-651" y="1050551"/>
                <a:pt x="-5320" y="879662"/>
                <a:pt x="15224" y="762000"/>
              </a:cubicBezTo>
              <a:cubicBezTo>
                <a:pt x="35768" y="644338"/>
                <a:pt x="71254" y="606986"/>
                <a:pt x="127283" y="515471"/>
              </a:cubicBezTo>
              <a:cubicBezTo>
                <a:pt x="183312" y="423956"/>
                <a:pt x="284166" y="298824"/>
                <a:pt x="351401" y="212912"/>
              </a:cubicBezTo>
              <a:cubicBezTo>
                <a:pt x="418636" y="127000"/>
                <a:pt x="474665" y="63500"/>
                <a:pt x="530695" y="0"/>
              </a:cubicBezTo>
            </a:path>
          </a:pathLst>
        </a:custGeom>
        <a:noFill/>
        <a:ln w="19050">
          <a:solidFill>
            <a:schemeClr val="tx1"/>
          </a:solidFill>
          <a:prstDash val="solid"/>
          <a:tailEnd type="triangl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1467970</xdr:colOff>
      <xdr:row>22</xdr:row>
      <xdr:rowOff>705970</xdr:rowOff>
    </xdr:from>
    <xdr:to>
      <xdr:col>6</xdr:col>
      <xdr:colOff>112058</xdr:colOff>
      <xdr:row>22</xdr:row>
      <xdr:rowOff>974911</xdr:rowOff>
    </xdr:to>
    <xdr:sp macro="" textlink="">
      <xdr:nvSpPr>
        <xdr:cNvPr id="2" name="Прямоугольник 1"/>
        <xdr:cNvSpPr/>
      </xdr:nvSpPr>
      <xdr:spPr>
        <a:xfrm>
          <a:off x="3014382" y="20876558"/>
          <a:ext cx="2711823" cy="268941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ПОЛУЧИТЕ ЛИСТЫ ДК У СУДЬИ</a:t>
          </a:r>
        </a:p>
      </xdr:txBody>
    </xdr:sp>
    <xdr:clientData/>
  </xdr:twoCellAnchor>
  <xdr:twoCellAnchor>
    <xdr:from>
      <xdr:col>3</xdr:col>
      <xdr:colOff>571500</xdr:colOff>
      <xdr:row>22</xdr:row>
      <xdr:rowOff>735217</xdr:rowOff>
    </xdr:from>
    <xdr:to>
      <xdr:col>3</xdr:col>
      <xdr:colOff>643500</xdr:colOff>
      <xdr:row>22</xdr:row>
      <xdr:rowOff>807217</xdr:rowOff>
    </xdr:to>
    <xdr:sp macro="" textlink="">
      <xdr:nvSpPr>
        <xdr:cNvPr id="235" name="5-конечная звезда 234">
          <a:extLst>
            <a:ext uri="{FF2B5EF4-FFF2-40B4-BE49-F238E27FC236}">
              <a16:creationId xmlns:a16="http://schemas.microsoft.com/office/drawing/2014/main" id="{00000000-0008-0000-0900-000036020000}"/>
            </a:ext>
          </a:extLst>
        </xdr:cNvPr>
        <xdr:cNvSpPr/>
      </xdr:nvSpPr>
      <xdr:spPr>
        <a:xfrm>
          <a:off x="2117912" y="20905805"/>
          <a:ext cx="72000" cy="72000"/>
        </a:xfrm>
        <a:prstGeom prst="star5">
          <a:avLst/>
        </a:pr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805961</xdr:colOff>
      <xdr:row>41</xdr:row>
      <xdr:rowOff>359018</xdr:rowOff>
    </xdr:from>
    <xdr:to>
      <xdr:col>3</xdr:col>
      <xdr:colOff>1065874</xdr:colOff>
      <xdr:row>41</xdr:row>
      <xdr:rowOff>683037</xdr:rowOff>
    </xdr:to>
    <xdr:sp macro="" textlink="">
      <xdr:nvSpPr>
        <xdr:cNvPr id="237" name="Полилиния 236"/>
        <xdr:cNvSpPr/>
      </xdr:nvSpPr>
      <xdr:spPr>
        <a:xfrm flipV="1">
          <a:off x="2346174" y="51007699"/>
          <a:ext cx="259913" cy="324019"/>
        </a:xfrm>
        <a:custGeom>
          <a:avLst/>
          <a:gdLst>
            <a:gd name="connsiteX0" fmla="*/ 0 w 541421"/>
            <a:gd name="connsiteY0" fmla="*/ 447633 h 447633"/>
            <a:gd name="connsiteX1" fmla="*/ 55144 w 541421"/>
            <a:gd name="connsiteY1" fmla="*/ 176923 h 447633"/>
            <a:gd name="connsiteX2" fmla="*/ 150394 w 541421"/>
            <a:gd name="connsiteY2" fmla="*/ 36554 h 447633"/>
            <a:gd name="connsiteX3" fmla="*/ 345907 w 541421"/>
            <a:gd name="connsiteY3" fmla="*/ 1462 h 447633"/>
            <a:gd name="connsiteX4" fmla="*/ 541421 w 541421"/>
            <a:gd name="connsiteY4" fmla="*/ 71647 h 447633"/>
            <a:gd name="connsiteX0" fmla="*/ 0 w 345907"/>
            <a:gd name="connsiteY0" fmla="*/ 447633 h 447633"/>
            <a:gd name="connsiteX1" fmla="*/ 55144 w 345907"/>
            <a:gd name="connsiteY1" fmla="*/ 176923 h 447633"/>
            <a:gd name="connsiteX2" fmla="*/ 150394 w 345907"/>
            <a:gd name="connsiteY2" fmla="*/ 36554 h 447633"/>
            <a:gd name="connsiteX3" fmla="*/ 345907 w 345907"/>
            <a:gd name="connsiteY3" fmla="*/ 1462 h 447633"/>
            <a:gd name="connsiteX0" fmla="*/ 0 w 371134"/>
            <a:gd name="connsiteY0" fmla="*/ 539389 h 539389"/>
            <a:gd name="connsiteX1" fmla="*/ 55144 w 371134"/>
            <a:gd name="connsiteY1" fmla="*/ 268679 h 539389"/>
            <a:gd name="connsiteX2" fmla="*/ 150394 w 371134"/>
            <a:gd name="connsiteY2" fmla="*/ 128310 h 539389"/>
            <a:gd name="connsiteX3" fmla="*/ 371134 w 371134"/>
            <a:gd name="connsiteY3" fmla="*/ 235 h 539389"/>
            <a:gd name="connsiteX0" fmla="*/ 0 w 358788"/>
            <a:gd name="connsiteY0" fmla="*/ 494054 h 494054"/>
            <a:gd name="connsiteX1" fmla="*/ 55144 w 358788"/>
            <a:gd name="connsiteY1" fmla="*/ 223344 h 494054"/>
            <a:gd name="connsiteX2" fmla="*/ 150394 w 358788"/>
            <a:gd name="connsiteY2" fmla="*/ 82975 h 494054"/>
            <a:gd name="connsiteX3" fmla="*/ 358788 w 358788"/>
            <a:gd name="connsiteY3" fmla="*/ 404 h 494054"/>
            <a:gd name="connsiteX0" fmla="*/ 0 w 358788"/>
            <a:gd name="connsiteY0" fmla="*/ 493650 h 493650"/>
            <a:gd name="connsiteX1" fmla="*/ 55144 w 358788"/>
            <a:gd name="connsiteY1" fmla="*/ 222940 h 493650"/>
            <a:gd name="connsiteX2" fmla="*/ 150394 w 358788"/>
            <a:gd name="connsiteY2" fmla="*/ 82571 h 493650"/>
            <a:gd name="connsiteX3" fmla="*/ 358788 w 358788"/>
            <a:gd name="connsiteY3" fmla="*/ 0 h 493650"/>
            <a:gd name="connsiteX0" fmla="*/ 0 w 395824"/>
            <a:gd name="connsiteY0" fmla="*/ 519652 h 519652"/>
            <a:gd name="connsiteX1" fmla="*/ 55144 w 395824"/>
            <a:gd name="connsiteY1" fmla="*/ 248942 h 519652"/>
            <a:gd name="connsiteX2" fmla="*/ 150394 w 395824"/>
            <a:gd name="connsiteY2" fmla="*/ 108573 h 519652"/>
            <a:gd name="connsiteX3" fmla="*/ 395824 w 395824"/>
            <a:gd name="connsiteY3" fmla="*/ 0 h 5196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5824" h="519652">
              <a:moveTo>
                <a:pt x="0" y="519652"/>
              </a:moveTo>
              <a:cubicBezTo>
                <a:pt x="15039" y="418553"/>
                <a:pt x="30078" y="317455"/>
                <a:pt x="55144" y="248942"/>
              </a:cubicBezTo>
              <a:cubicBezTo>
                <a:pt x="80210" y="180429"/>
                <a:pt x="101934" y="137816"/>
                <a:pt x="150394" y="108573"/>
              </a:cubicBezTo>
              <a:cubicBezTo>
                <a:pt x="198854" y="79330"/>
                <a:pt x="287445" y="39655"/>
                <a:pt x="395824" y="0"/>
              </a:cubicBezTo>
            </a:path>
          </a:pathLst>
        </a:custGeom>
        <a:noFill/>
        <a:ln w="19050">
          <a:solidFill>
            <a:schemeClr val="tx1"/>
          </a:solidFill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1479177</xdr:colOff>
      <xdr:row>42</xdr:row>
      <xdr:rowOff>840441</xdr:rowOff>
    </xdr:from>
    <xdr:to>
      <xdr:col>6</xdr:col>
      <xdr:colOff>123265</xdr:colOff>
      <xdr:row>42</xdr:row>
      <xdr:rowOff>1109382</xdr:rowOff>
    </xdr:to>
    <xdr:sp macro="" textlink="">
      <xdr:nvSpPr>
        <xdr:cNvPr id="164" name="Прямоугольник 163"/>
        <xdr:cNvSpPr/>
      </xdr:nvSpPr>
      <xdr:spPr>
        <a:xfrm>
          <a:off x="3025589" y="51491029"/>
          <a:ext cx="2711823" cy="268941"/>
        </a:xfrm>
        <a:prstGeom prst="rect">
          <a:avLst/>
        </a:prstGeom>
        <a:solidFill>
          <a:srgbClr val="FFFF00"/>
        </a:solidFill>
        <a:ln w="19050">
          <a:noFill/>
          <a:tailEnd type="none" w="med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>
              <a:solidFill>
                <a:sysClr val="windowText" lastClr="000000"/>
              </a:solidFill>
            </a:rPr>
            <a:t>ПОЛУЧИТЕ ЛИСТЫ ДК У СУДЬИ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chemeClr val="tx1"/>
          </a:solidFill>
          <a:tailEnd type="none" w="med" len="lg"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L9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16384" width="9.140625" style="15"/>
  </cols>
  <sheetData>
    <row r="1" spans="1:12" ht="17.45" customHeight="1" x14ac:dyDescent="0.25">
      <c r="A1" s="2"/>
      <c r="B1" s="3"/>
      <c r="C1" s="4"/>
      <c r="D1" s="458" t="str">
        <f>НазваниеКраткое</f>
        <v>Западные ворота - 2017</v>
      </c>
      <c r="E1" s="459"/>
      <c r="F1" s="167" t="s">
        <v>8</v>
      </c>
      <c r="G1" s="168">
        <f>ВосточнаяРасстояние</f>
        <v>1.89</v>
      </c>
    </row>
    <row r="2" spans="1:12" ht="17.45" customHeight="1" x14ac:dyDescent="0.25">
      <c r="A2" s="5"/>
      <c r="B2" s="6"/>
      <c r="C2" s="7"/>
      <c r="D2" s="458" t="s">
        <v>265</v>
      </c>
      <c r="E2" s="459"/>
      <c r="F2" s="167" t="s">
        <v>10</v>
      </c>
      <c r="G2" s="169" t="s">
        <v>253</v>
      </c>
    </row>
    <row r="3" spans="1:12" ht="17.45" customHeight="1" x14ac:dyDescent="0.25">
      <c r="A3" s="5"/>
      <c r="B3" s="6"/>
      <c r="C3" s="7"/>
      <c r="D3" s="458" t="str">
        <f>ТИ0</f>
        <v>ТИ-0</v>
      </c>
      <c r="E3" s="459"/>
      <c r="F3" s="167" t="s">
        <v>9</v>
      </c>
      <c r="G3" s="170" t="s">
        <v>253</v>
      </c>
    </row>
    <row r="4" spans="1:12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12" ht="240" customHeight="1" x14ac:dyDescent="0.25">
      <c r="A5" s="206">
        <v>1</v>
      </c>
      <c r="B5" s="208">
        <v>0</v>
      </c>
      <c r="C5" s="205">
        <v>0</v>
      </c>
      <c r="D5" s="462"/>
      <c r="E5" s="463"/>
      <c r="F5" s="464"/>
      <c r="G5" s="205">
        <f>ВосточнаяРасстояние-B5</f>
        <v>1.89</v>
      </c>
      <c r="J5" s="86"/>
      <c r="L5" s="172"/>
    </row>
    <row r="6" spans="1:12" ht="120" customHeight="1" x14ac:dyDescent="0.25">
      <c r="A6" s="10">
        <f>1+A5</f>
        <v>2</v>
      </c>
      <c r="B6" s="166">
        <v>1.05</v>
      </c>
      <c r="C6" s="166">
        <f t="shared" ref="C6:C9" si="0">B6-B5</f>
        <v>1.05</v>
      </c>
      <c r="D6" s="10"/>
      <c r="E6" s="453"/>
      <c r="F6" s="465"/>
      <c r="G6" s="205">
        <f>ВосточнаяРасстояние-B6</f>
        <v>0.83999999999999986</v>
      </c>
      <c r="J6" s="86"/>
    </row>
    <row r="7" spans="1:12" ht="120" customHeight="1" x14ac:dyDescent="0.25">
      <c r="A7" s="10">
        <f t="shared" ref="A7:A9" si="1">1+A6</f>
        <v>3</v>
      </c>
      <c r="B7" s="166">
        <v>1.71</v>
      </c>
      <c r="C7" s="166">
        <f t="shared" si="0"/>
        <v>0.65999999999999992</v>
      </c>
      <c r="D7" s="10"/>
      <c r="E7" s="453"/>
      <c r="F7" s="454"/>
      <c r="G7" s="205">
        <f>ВосточнаяРасстояние-B7</f>
        <v>0.17999999999999994</v>
      </c>
      <c r="J7" s="86"/>
    </row>
    <row r="8" spans="1:12" ht="240" customHeight="1" x14ac:dyDescent="0.25">
      <c r="A8" s="10">
        <f t="shared" si="1"/>
        <v>4</v>
      </c>
      <c r="B8" s="166">
        <v>1.8</v>
      </c>
      <c r="C8" s="166">
        <f t="shared" si="0"/>
        <v>9.000000000000008E-2</v>
      </c>
      <c r="D8" s="455"/>
      <c r="E8" s="456"/>
      <c r="F8" s="457"/>
      <c r="G8" s="11">
        <f>ВосточнаяРасстояние-B8</f>
        <v>8.9999999999999858E-2</v>
      </c>
      <c r="J8" s="86"/>
    </row>
    <row r="9" spans="1:12" ht="120" customHeight="1" x14ac:dyDescent="0.25">
      <c r="A9" s="10">
        <f t="shared" si="1"/>
        <v>5</v>
      </c>
      <c r="B9" s="166">
        <v>1.89</v>
      </c>
      <c r="C9" s="166">
        <f t="shared" si="0"/>
        <v>8.9999999999999858E-2</v>
      </c>
      <c r="D9" s="171"/>
      <c r="E9" s="453" t="s">
        <v>386</v>
      </c>
      <c r="F9" s="454"/>
      <c r="G9" s="11">
        <f>ВосточнаяРасстояние-B9</f>
        <v>0</v>
      </c>
      <c r="J9" s="86"/>
    </row>
  </sheetData>
  <mergeCells count="9">
    <mergeCell ref="E7:F7"/>
    <mergeCell ref="D8:F8"/>
    <mergeCell ref="E9:F9"/>
    <mergeCell ref="D1:E1"/>
    <mergeCell ref="D2:E2"/>
    <mergeCell ref="D3:E3"/>
    <mergeCell ref="E4:F4"/>
    <mergeCell ref="D5:F5"/>
    <mergeCell ref="E6:F6"/>
  </mergeCells>
  <pageMargins left="0.39370078740157483" right="0.39370078740157483" top="0.39370078740157483" bottom="0.39370078740157483" header="0" footer="0"/>
  <pageSetup paperSize="9" orientation="portrait" horizontalDpi="200" verticalDpi="200" r:id="rId1"/>
  <headerFooter>
    <oddFooter>Страница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K42"/>
  <sheetViews>
    <sheetView view="pageBreakPreview" zoomScale="85" zoomScaleNormal="70" zoomScaleSheetLayoutView="85" zoomScalePageLayoutView="40" workbookViewId="0">
      <selection activeCell="E6" sqref="E6:F6"/>
    </sheetView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9" width="9.140625" style="15"/>
    <col min="10" max="10" width="8" style="15" customWidth="1"/>
    <col min="11" max="16384" width="9.140625" style="15"/>
  </cols>
  <sheetData>
    <row r="1" spans="1:7" ht="17.45" customHeight="1" x14ac:dyDescent="0.25">
      <c r="A1" s="2"/>
      <c r="B1" s="3"/>
      <c r="C1" s="4"/>
      <c r="D1" s="540" t="str">
        <f>НазваниеКраткое</f>
        <v>Западные ворота - 2017</v>
      </c>
      <c r="E1" s="541"/>
      <c r="F1" s="21" t="s">
        <v>8</v>
      </c>
      <c r="G1" s="22">
        <f>КВ3Расстояние</f>
        <v>83.69</v>
      </c>
    </row>
    <row r="2" spans="1:7" ht="17.45" customHeight="1" x14ac:dyDescent="0.25">
      <c r="A2" s="5"/>
      <c r="B2" s="6"/>
      <c r="C2" s="7"/>
      <c r="D2" s="540" t="str">
        <f>КВ2</f>
        <v>КВ-2 ПКАД</v>
      </c>
      <c r="E2" s="541"/>
      <c r="F2" s="21" t="s">
        <v>10</v>
      </c>
      <c r="G2" s="20">
        <f>КВ3Время</f>
        <v>95</v>
      </c>
    </row>
    <row r="3" spans="1:7" ht="17.45" customHeight="1" x14ac:dyDescent="0.25">
      <c r="A3" s="5"/>
      <c r="B3" s="6"/>
      <c r="C3" s="7"/>
      <c r="D3" s="540" t="str">
        <f>КВ3</f>
        <v>КВ-3 Финиш</v>
      </c>
      <c r="E3" s="541"/>
      <c r="F3" s="21" t="s">
        <v>9</v>
      </c>
      <c r="G3" s="22">
        <f>КВ3Скорость</f>
        <v>52.86</v>
      </c>
    </row>
    <row r="4" spans="1:7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7" ht="120" customHeight="1" x14ac:dyDescent="0.3">
      <c r="A5" s="10">
        <v>1</v>
      </c>
      <c r="B5" s="14">
        <v>0</v>
      </c>
      <c r="C5" s="11">
        <v>0</v>
      </c>
      <c r="D5" s="10"/>
      <c r="E5" s="557" t="str">
        <f>КВ2&amp;" / "&amp;ДС5&amp;" Старт"&amp;CHAR(10)&amp;"Vср=ПДД, но не &gt;40 км/ч"</f>
        <v>КВ-2 ПКАД / ДС-5 РД Старт
Vср=ПДД, но не &gt;40 км/ч</v>
      </c>
      <c r="F5" s="557"/>
      <c r="G5" s="11">
        <f t="shared" ref="G5:G41" si="0">КВ3Расстояние-B5</f>
        <v>83.69</v>
      </c>
    </row>
    <row r="6" spans="1:7" ht="120" customHeight="1" x14ac:dyDescent="0.25">
      <c r="A6" s="10">
        <f t="shared" ref="A6:A41" si="1">1+A5</f>
        <v>2</v>
      </c>
      <c r="B6" s="14">
        <v>0.17</v>
      </c>
      <c r="C6" s="166">
        <f t="shared" ref="C6:C41" si="2">B6-B5</f>
        <v>0.17</v>
      </c>
      <c r="D6" s="176"/>
      <c r="E6" s="558" t="s">
        <v>330</v>
      </c>
      <c r="F6" s="559"/>
      <c r="G6" s="11">
        <f t="shared" si="0"/>
        <v>83.52</v>
      </c>
    </row>
    <row r="7" spans="1:7" ht="120" customHeight="1" x14ac:dyDescent="0.25">
      <c r="A7" s="10">
        <f t="shared" si="1"/>
        <v>3</v>
      </c>
      <c r="B7" s="194">
        <v>1.68</v>
      </c>
      <c r="C7" s="194">
        <f t="shared" si="2"/>
        <v>1.51</v>
      </c>
      <c r="D7" s="176"/>
      <c r="E7" s="535"/>
      <c r="F7" s="535"/>
      <c r="G7" s="194">
        <f t="shared" si="0"/>
        <v>82.009999999999991</v>
      </c>
    </row>
    <row r="8" spans="1:7" ht="120" customHeight="1" x14ac:dyDescent="0.25">
      <c r="A8" s="10">
        <f t="shared" si="1"/>
        <v>4</v>
      </c>
      <c r="B8" s="194">
        <v>3.52</v>
      </c>
      <c r="C8" s="166">
        <f t="shared" si="2"/>
        <v>1.84</v>
      </c>
      <c r="D8" s="176"/>
      <c r="E8" s="535"/>
      <c r="F8" s="535"/>
      <c r="G8" s="194">
        <f t="shared" si="0"/>
        <v>80.17</v>
      </c>
    </row>
    <row r="9" spans="1:7" ht="120" customHeight="1" x14ac:dyDescent="0.25">
      <c r="A9" s="10">
        <f t="shared" si="1"/>
        <v>5</v>
      </c>
      <c r="B9" s="194">
        <v>3.63</v>
      </c>
      <c r="C9" s="194">
        <f t="shared" si="2"/>
        <v>0.10999999999999988</v>
      </c>
      <c r="D9" s="176"/>
      <c r="E9" s="535"/>
      <c r="F9" s="535"/>
      <c r="G9" s="204">
        <f t="shared" si="0"/>
        <v>80.06</v>
      </c>
    </row>
    <row r="10" spans="1:7" ht="120" customHeight="1" x14ac:dyDescent="0.25">
      <c r="A10" s="10">
        <f t="shared" si="1"/>
        <v>6</v>
      </c>
      <c r="B10" s="194">
        <v>4.24</v>
      </c>
      <c r="C10" s="194">
        <f t="shared" si="2"/>
        <v>0.61000000000000032</v>
      </c>
      <c r="D10" s="176"/>
      <c r="E10" s="535"/>
      <c r="F10" s="535"/>
      <c r="G10" s="194">
        <f t="shared" si="0"/>
        <v>79.45</v>
      </c>
    </row>
    <row r="11" spans="1:7" ht="120" customHeight="1" x14ac:dyDescent="0.25">
      <c r="A11" s="10">
        <f t="shared" si="1"/>
        <v>7</v>
      </c>
      <c r="B11" s="194">
        <v>5.22</v>
      </c>
      <c r="C11" s="166">
        <f t="shared" si="2"/>
        <v>0.97999999999999954</v>
      </c>
      <c r="D11" s="397"/>
      <c r="E11" s="535"/>
      <c r="F11" s="535"/>
      <c r="G11" s="194">
        <f t="shared" si="0"/>
        <v>78.47</v>
      </c>
    </row>
    <row r="12" spans="1:7" ht="120" customHeight="1" x14ac:dyDescent="0.25">
      <c r="A12" s="10">
        <f t="shared" si="1"/>
        <v>8</v>
      </c>
      <c r="B12" s="194">
        <v>5.29</v>
      </c>
      <c r="C12" s="14">
        <f t="shared" si="2"/>
        <v>7.0000000000000284E-2</v>
      </c>
      <c r="D12" s="397"/>
      <c r="E12" s="535"/>
      <c r="F12" s="535"/>
      <c r="G12" s="194">
        <f t="shared" si="0"/>
        <v>78.399999999999991</v>
      </c>
    </row>
    <row r="13" spans="1:7" ht="120" customHeight="1" x14ac:dyDescent="0.35">
      <c r="A13" s="10">
        <f t="shared" si="1"/>
        <v>9</v>
      </c>
      <c r="B13" s="194">
        <v>5.82</v>
      </c>
      <c r="C13" s="14">
        <f t="shared" si="2"/>
        <v>0.53000000000000025</v>
      </c>
      <c r="D13" s="176"/>
      <c r="E13" s="560" t="s">
        <v>266</v>
      </c>
      <c r="F13" s="560"/>
      <c r="G13" s="194">
        <f t="shared" si="0"/>
        <v>77.87</v>
      </c>
    </row>
    <row r="14" spans="1:7" ht="120" customHeight="1" x14ac:dyDescent="0.25">
      <c r="A14" s="188"/>
      <c r="B14" s="178"/>
      <c r="C14" s="178"/>
      <c r="D14" s="179"/>
      <c r="E14" s="561"/>
      <c r="F14" s="561"/>
      <c r="G14" s="201"/>
    </row>
    <row r="15" spans="1:7" ht="120" customHeight="1" x14ac:dyDescent="0.25">
      <c r="A15" s="13"/>
      <c r="B15" s="181"/>
      <c r="C15" s="181"/>
      <c r="D15" s="182"/>
      <c r="E15" s="539"/>
      <c r="F15" s="539"/>
      <c r="G15" s="202"/>
    </row>
    <row r="16" spans="1:7" ht="120" customHeight="1" x14ac:dyDescent="0.25">
      <c r="A16" s="13"/>
      <c r="B16" s="181"/>
      <c r="C16" s="181"/>
      <c r="D16" s="182"/>
      <c r="E16" s="539"/>
      <c r="F16" s="539"/>
      <c r="G16" s="202"/>
    </row>
    <row r="17" spans="1:10" ht="120" customHeight="1" x14ac:dyDescent="0.25">
      <c r="A17" s="13"/>
      <c r="B17" s="181"/>
      <c r="C17" s="181"/>
      <c r="D17" s="182"/>
      <c r="E17" s="539"/>
      <c r="F17" s="539"/>
      <c r="G17" s="202"/>
      <c r="J17" s="86"/>
    </row>
    <row r="18" spans="1:10" ht="120" customHeight="1" x14ac:dyDescent="0.25">
      <c r="A18" s="13"/>
      <c r="B18" s="181"/>
      <c r="C18" s="181"/>
      <c r="D18" s="182"/>
      <c r="E18" s="539"/>
      <c r="F18" s="539"/>
      <c r="G18" s="202"/>
      <c r="J18" s="86"/>
    </row>
    <row r="19" spans="1:10" ht="120" customHeight="1" x14ac:dyDescent="0.25">
      <c r="A19" s="190"/>
      <c r="B19" s="183"/>
      <c r="C19" s="183"/>
      <c r="D19" s="184"/>
      <c r="E19" s="562"/>
      <c r="F19" s="562"/>
      <c r="G19" s="203"/>
      <c r="J19" s="86"/>
    </row>
    <row r="20" spans="1:10" ht="120" customHeight="1" x14ac:dyDescent="0.35">
      <c r="A20" s="10">
        <f>1+A13</f>
        <v>10</v>
      </c>
      <c r="B20" s="14">
        <v>14.77</v>
      </c>
      <c r="C20" s="14"/>
      <c r="D20" s="176"/>
      <c r="E20" s="533" t="s">
        <v>291</v>
      </c>
      <c r="F20" s="534"/>
      <c r="G20" s="14">
        <f t="shared" si="0"/>
        <v>68.92</v>
      </c>
      <c r="J20" s="86"/>
    </row>
    <row r="21" spans="1:10" ht="120" customHeight="1" x14ac:dyDescent="0.25">
      <c r="A21" s="10">
        <f t="shared" si="1"/>
        <v>11</v>
      </c>
      <c r="B21" s="14">
        <v>15.26</v>
      </c>
      <c r="C21" s="14">
        <f t="shared" si="2"/>
        <v>0.49000000000000021</v>
      </c>
      <c r="D21" s="176"/>
      <c r="E21" s="535"/>
      <c r="F21" s="535"/>
      <c r="G21" s="14">
        <f t="shared" si="0"/>
        <v>68.429999999999993</v>
      </c>
      <c r="J21" s="86"/>
    </row>
    <row r="22" spans="1:10" ht="120" customHeight="1" x14ac:dyDescent="0.25">
      <c r="A22" s="10">
        <f t="shared" si="1"/>
        <v>12</v>
      </c>
      <c r="B22" s="14">
        <v>16.43</v>
      </c>
      <c r="C22" s="14">
        <f t="shared" si="2"/>
        <v>1.17</v>
      </c>
      <c r="D22" s="176"/>
      <c r="E22" s="535" t="s">
        <v>307</v>
      </c>
      <c r="F22" s="535"/>
      <c r="G22" s="14">
        <f t="shared" si="0"/>
        <v>67.259999999999991</v>
      </c>
      <c r="J22" s="86"/>
    </row>
    <row r="23" spans="1:10" ht="120" customHeight="1" x14ac:dyDescent="0.25">
      <c r="A23" s="10">
        <f t="shared" si="1"/>
        <v>13</v>
      </c>
      <c r="B23" s="14">
        <v>19.93</v>
      </c>
      <c r="C23" s="14">
        <f t="shared" si="2"/>
        <v>3.5</v>
      </c>
      <c r="D23" s="176"/>
      <c r="E23" s="535"/>
      <c r="F23" s="535"/>
      <c r="G23" s="14">
        <f t="shared" si="0"/>
        <v>63.76</v>
      </c>
      <c r="J23" s="15" t="s">
        <v>309</v>
      </c>
    </row>
    <row r="24" spans="1:10" ht="120" customHeight="1" x14ac:dyDescent="0.25">
      <c r="A24" s="10">
        <f t="shared" si="1"/>
        <v>14</v>
      </c>
      <c r="B24" s="14">
        <v>21.02</v>
      </c>
      <c r="C24" s="14">
        <f t="shared" si="2"/>
        <v>1.0899999999999999</v>
      </c>
      <c r="D24" s="176"/>
      <c r="E24" s="535"/>
      <c r="F24" s="535"/>
      <c r="G24" s="14">
        <f t="shared" si="0"/>
        <v>62.67</v>
      </c>
      <c r="J24" s="86"/>
    </row>
    <row r="25" spans="1:10" ht="120" customHeight="1" x14ac:dyDescent="0.25">
      <c r="A25" s="10">
        <f t="shared" si="1"/>
        <v>15</v>
      </c>
      <c r="B25" s="14">
        <v>21.37</v>
      </c>
      <c r="C25" s="14">
        <f t="shared" si="2"/>
        <v>0.35000000000000142</v>
      </c>
      <c r="D25" s="176"/>
      <c r="E25" s="535"/>
      <c r="F25" s="535"/>
      <c r="G25" s="14">
        <f t="shared" si="0"/>
        <v>62.319999999999993</v>
      </c>
      <c r="J25" s="86"/>
    </row>
    <row r="26" spans="1:10" ht="120" customHeight="1" x14ac:dyDescent="0.25">
      <c r="A26" s="10">
        <f t="shared" si="1"/>
        <v>16</v>
      </c>
      <c r="B26" s="14">
        <v>21.66</v>
      </c>
      <c r="C26" s="14">
        <f t="shared" si="2"/>
        <v>0.28999999999999915</v>
      </c>
      <c r="D26" s="176"/>
      <c r="E26" s="535"/>
      <c r="F26" s="535"/>
      <c r="G26" s="14">
        <f t="shared" si="0"/>
        <v>62.03</v>
      </c>
      <c r="J26" s="86"/>
    </row>
    <row r="27" spans="1:10" ht="120" customHeight="1" x14ac:dyDescent="0.25">
      <c r="A27" s="10">
        <f t="shared" si="1"/>
        <v>17</v>
      </c>
      <c r="B27" s="14">
        <v>21.77</v>
      </c>
      <c r="C27" s="14">
        <f t="shared" si="2"/>
        <v>0.10999999999999943</v>
      </c>
      <c r="D27" s="176"/>
      <c r="E27" s="535"/>
      <c r="F27" s="535"/>
      <c r="G27" s="14">
        <f t="shared" si="0"/>
        <v>61.92</v>
      </c>
      <c r="J27" s="86"/>
    </row>
    <row r="28" spans="1:10" ht="120" customHeight="1" x14ac:dyDescent="0.25">
      <c r="A28" s="10">
        <f t="shared" si="1"/>
        <v>18</v>
      </c>
      <c r="B28" s="14">
        <v>22.37</v>
      </c>
      <c r="C28" s="14">
        <f t="shared" si="2"/>
        <v>0.60000000000000142</v>
      </c>
      <c r="D28" s="176"/>
      <c r="E28" s="535"/>
      <c r="F28" s="535"/>
      <c r="G28" s="14">
        <f t="shared" si="0"/>
        <v>61.319999999999993</v>
      </c>
      <c r="J28" s="86"/>
    </row>
    <row r="29" spans="1:10" ht="120" customHeight="1" x14ac:dyDescent="0.25">
      <c r="A29" s="10">
        <f t="shared" si="1"/>
        <v>19</v>
      </c>
      <c r="B29" s="14">
        <v>23.34</v>
      </c>
      <c r="C29" s="14">
        <f t="shared" si="2"/>
        <v>0.96999999999999886</v>
      </c>
      <c r="D29" s="176"/>
      <c r="E29" s="535"/>
      <c r="F29" s="535"/>
      <c r="G29" s="14">
        <f t="shared" si="0"/>
        <v>60.349999999999994</v>
      </c>
      <c r="J29" s="86"/>
    </row>
    <row r="30" spans="1:10" ht="120" customHeight="1" x14ac:dyDescent="0.35">
      <c r="A30" s="10">
        <f t="shared" si="1"/>
        <v>20</v>
      </c>
      <c r="B30" s="194">
        <v>75.010000000000005</v>
      </c>
      <c r="C30" s="194">
        <f t="shared" si="2"/>
        <v>51.67</v>
      </c>
      <c r="D30" s="176"/>
      <c r="E30" s="560"/>
      <c r="F30" s="560"/>
      <c r="G30" s="194">
        <f t="shared" si="0"/>
        <v>8.6799999999999926</v>
      </c>
      <c r="I30" s="86"/>
      <c r="J30" s="86"/>
    </row>
    <row r="31" spans="1:10" ht="120" customHeight="1" x14ac:dyDescent="0.35">
      <c r="A31" s="10">
        <f t="shared" si="1"/>
        <v>21</v>
      </c>
      <c r="B31" s="14">
        <v>76.069999999999993</v>
      </c>
      <c r="C31" s="194">
        <f t="shared" si="2"/>
        <v>1.0599999999999881</v>
      </c>
      <c r="D31" s="176"/>
      <c r="E31" s="560"/>
      <c r="F31" s="560"/>
      <c r="G31" s="14">
        <f t="shared" si="0"/>
        <v>7.6200000000000045</v>
      </c>
      <c r="I31" s="86"/>
      <c r="J31" s="86"/>
    </row>
    <row r="32" spans="1:10" ht="120" customHeight="1" x14ac:dyDescent="0.25">
      <c r="A32" s="10">
        <f t="shared" si="1"/>
        <v>22</v>
      </c>
      <c r="B32" s="14">
        <v>76.349999999999994</v>
      </c>
      <c r="C32" s="14">
        <f t="shared" si="2"/>
        <v>0.28000000000000114</v>
      </c>
      <c r="D32" s="176"/>
      <c r="E32" s="535"/>
      <c r="F32" s="535"/>
      <c r="G32" s="14">
        <f t="shared" si="0"/>
        <v>7.3400000000000034</v>
      </c>
      <c r="I32" s="86"/>
      <c r="J32" s="86"/>
    </row>
    <row r="33" spans="1:11" ht="120" customHeight="1" x14ac:dyDescent="0.25">
      <c r="A33" s="10">
        <f t="shared" si="1"/>
        <v>23</v>
      </c>
      <c r="B33" s="14">
        <v>77.010000000000005</v>
      </c>
      <c r="C33" s="14">
        <f t="shared" si="2"/>
        <v>0.6600000000000108</v>
      </c>
      <c r="D33" s="176"/>
      <c r="E33" s="535"/>
      <c r="F33" s="535"/>
      <c r="G33" s="14">
        <f t="shared" si="0"/>
        <v>6.6799999999999926</v>
      </c>
      <c r="I33" s="86"/>
      <c r="J33" s="86"/>
    </row>
    <row r="34" spans="1:11" ht="120" customHeight="1" x14ac:dyDescent="0.25">
      <c r="A34" s="10">
        <f t="shared" si="1"/>
        <v>24</v>
      </c>
      <c r="B34" s="14">
        <v>77.69</v>
      </c>
      <c r="C34" s="14">
        <f t="shared" si="2"/>
        <v>0.67999999999999261</v>
      </c>
      <c r="D34" s="176"/>
      <c r="E34" s="535"/>
      <c r="F34" s="535"/>
      <c r="G34" s="14">
        <f t="shared" si="0"/>
        <v>6</v>
      </c>
      <c r="I34" s="86"/>
      <c r="J34" s="86"/>
    </row>
    <row r="35" spans="1:11" ht="120" customHeight="1" x14ac:dyDescent="0.25">
      <c r="A35" s="10">
        <f t="shared" si="1"/>
        <v>25</v>
      </c>
      <c r="B35" s="14">
        <v>78.7</v>
      </c>
      <c r="C35" s="14">
        <f t="shared" si="2"/>
        <v>1.0100000000000051</v>
      </c>
      <c r="D35" s="176"/>
      <c r="E35" s="535"/>
      <c r="F35" s="535"/>
      <c r="G35" s="14">
        <f t="shared" si="0"/>
        <v>4.9899999999999949</v>
      </c>
      <c r="I35" s="86"/>
      <c r="J35" s="86"/>
    </row>
    <row r="36" spans="1:11" ht="120" customHeight="1" x14ac:dyDescent="0.25">
      <c r="A36" s="10">
        <f t="shared" si="1"/>
        <v>26</v>
      </c>
      <c r="B36" s="14">
        <v>80.2</v>
      </c>
      <c r="C36" s="14">
        <f t="shared" si="2"/>
        <v>1.5</v>
      </c>
      <c r="D36" s="176"/>
      <c r="E36" s="535"/>
      <c r="F36" s="535"/>
      <c r="G36" s="14">
        <f t="shared" si="0"/>
        <v>3.4899999999999949</v>
      </c>
      <c r="I36" s="86"/>
      <c r="J36" s="86"/>
    </row>
    <row r="37" spans="1:11" ht="120" customHeight="1" x14ac:dyDescent="0.25">
      <c r="A37" s="10">
        <f t="shared" si="1"/>
        <v>27</v>
      </c>
      <c r="B37" s="14">
        <v>81.63</v>
      </c>
      <c r="C37" s="14">
        <f t="shared" si="2"/>
        <v>1.4299999999999926</v>
      </c>
      <c r="D37" s="176"/>
      <c r="E37" s="535"/>
      <c r="F37" s="535"/>
      <c r="G37" s="14">
        <f t="shared" si="0"/>
        <v>2.0600000000000023</v>
      </c>
      <c r="I37" s="86"/>
      <c r="J37" s="86"/>
    </row>
    <row r="38" spans="1:11" ht="120" customHeight="1" x14ac:dyDescent="0.25">
      <c r="A38" s="10">
        <f t="shared" si="1"/>
        <v>28</v>
      </c>
      <c r="B38" s="14">
        <v>82.21</v>
      </c>
      <c r="C38" s="14">
        <f t="shared" si="2"/>
        <v>0.57999999999999829</v>
      </c>
      <c r="D38" s="176"/>
      <c r="E38" s="535"/>
      <c r="F38" s="535"/>
      <c r="G38" s="14">
        <f t="shared" si="0"/>
        <v>1.480000000000004</v>
      </c>
      <c r="I38" s="86"/>
      <c r="J38" s="86"/>
    </row>
    <row r="39" spans="1:11" ht="120" customHeight="1" x14ac:dyDescent="0.25">
      <c r="A39" s="10">
        <f t="shared" si="1"/>
        <v>29</v>
      </c>
      <c r="B39" s="14">
        <v>83.4</v>
      </c>
      <c r="C39" s="14">
        <f t="shared" si="2"/>
        <v>1.1900000000000119</v>
      </c>
      <c r="D39" s="176"/>
      <c r="E39" s="535" t="s">
        <v>276</v>
      </c>
      <c r="F39" s="535"/>
      <c r="G39" s="14">
        <f t="shared" si="0"/>
        <v>0.28999999999999204</v>
      </c>
      <c r="I39" s="86"/>
      <c r="J39" s="86"/>
    </row>
    <row r="40" spans="1:11" ht="120" customHeight="1" x14ac:dyDescent="0.35">
      <c r="A40" s="10">
        <f t="shared" si="1"/>
        <v>30</v>
      </c>
      <c r="B40" s="14">
        <v>83.67</v>
      </c>
      <c r="C40" s="14">
        <f t="shared" si="2"/>
        <v>0.26999999999999602</v>
      </c>
      <c r="D40" s="232"/>
      <c r="E40" s="545"/>
      <c r="F40" s="545"/>
      <c r="G40" s="14">
        <f t="shared" si="0"/>
        <v>1.9999999999996021E-2</v>
      </c>
      <c r="I40" s="86"/>
      <c r="J40" s="86"/>
    </row>
    <row r="41" spans="1:11" ht="120" customHeight="1" x14ac:dyDescent="0.35">
      <c r="A41" s="10">
        <f t="shared" si="1"/>
        <v>31</v>
      </c>
      <c r="B41" s="14">
        <v>83.69</v>
      </c>
      <c r="C41" s="14">
        <f t="shared" si="2"/>
        <v>1.9999999999996021E-2</v>
      </c>
      <c r="D41" s="231"/>
      <c r="E41" s="545" t="str">
        <f>КВ3</f>
        <v>КВ-3 Финиш</v>
      </c>
      <c r="F41" s="556"/>
      <c r="G41" s="14">
        <f t="shared" si="0"/>
        <v>0</v>
      </c>
      <c r="I41" s="86"/>
      <c r="J41" s="86"/>
      <c r="K41"/>
    </row>
    <row r="42" spans="1:11" ht="120" customHeight="1" x14ac:dyDescent="0.25">
      <c r="A42" s="563" t="str">
        <f>"Сдайте контрольную карту и неиспользованные конверты судье финиша. Далее - "&amp;ДС6</f>
        <v>Сдайте контрольную карту и неиспользованные конверты судье финиша. Далее - ДС-6 СЛ</v>
      </c>
      <c r="B42" s="564"/>
      <c r="C42" s="564"/>
      <c r="D42" s="564"/>
      <c r="E42" s="564"/>
      <c r="F42" s="564"/>
      <c r="G42" s="565"/>
      <c r="J42" s="86" t="s">
        <v>308</v>
      </c>
    </row>
  </sheetData>
  <mergeCells count="42">
    <mergeCell ref="A42:G42"/>
    <mergeCell ref="E41:F41"/>
    <mergeCell ref="E38:F38"/>
    <mergeCell ref="E39:F39"/>
    <mergeCell ref="E32:F32"/>
    <mergeCell ref="E33:F33"/>
    <mergeCell ref="E34:F34"/>
    <mergeCell ref="E35:F35"/>
    <mergeCell ref="E36:F36"/>
    <mergeCell ref="E37:F37"/>
    <mergeCell ref="E40:F40"/>
    <mergeCell ref="E31:F31"/>
    <mergeCell ref="E13:F13"/>
    <mergeCell ref="E14:F14"/>
    <mergeCell ref="E15:F15"/>
    <mergeCell ref="E16:F16"/>
    <mergeCell ref="E17:F17"/>
    <mergeCell ref="E18:F18"/>
    <mergeCell ref="E19:F19"/>
    <mergeCell ref="E30:F30"/>
    <mergeCell ref="E20:F20"/>
    <mergeCell ref="E22:F22"/>
    <mergeCell ref="E23:F23"/>
    <mergeCell ref="E21:F21"/>
    <mergeCell ref="E24:F24"/>
    <mergeCell ref="E29:F29"/>
    <mergeCell ref="E25:F25"/>
    <mergeCell ref="E26:F26"/>
    <mergeCell ref="E27:F27"/>
    <mergeCell ref="E28:F28"/>
    <mergeCell ref="E12:F12"/>
    <mergeCell ref="D1:E1"/>
    <mergeCell ref="D2:E2"/>
    <mergeCell ref="D3:E3"/>
    <mergeCell ref="E4:F4"/>
    <mergeCell ref="E5:F5"/>
    <mergeCell ref="E6:F6"/>
    <mergeCell ref="E7:F7"/>
    <mergeCell ref="E8:F8"/>
    <mergeCell ref="E9:F9"/>
    <mergeCell ref="E10:F10"/>
    <mergeCell ref="E11:F11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rowBreaks count="1" manualBreakCount="1">
    <brk id="13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J51"/>
  <sheetViews>
    <sheetView view="pageBreakPreview" zoomScaleNormal="55" zoomScaleSheetLayoutView="100" workbookViewId="0">
      <selection activeCell="C10" sqref="C10"/>
    </sheetView>
  </sheetViews>
  <sheetFormatPr defaultRowHeight="15" x14ac:dyDescent="0.25"/>
  <sheetData>
    <row r="1" spans="1:10" s="15" customFormat="1" x14ac:dyDescent="0.25"/>
    <row r="2" spans="1:10" s="15" customFormat="1" ht="23.25" x14ac:dyDescent="0.25">
      <c r="A2" s="503" t="str">
        <f>НазваниеПолное</f>
        <v>Ралли "Западные ворота - 2017"</v>
      </c>
      <c r="B2" s="503"/>
      <c r="C2" s="503"/>
      <c r="D2" s="503"/>
      <c r="E2" s="503"/>
      <c r="F2" s="503"/>
      <c r="G2" s="503"/>
      <c r="H2" s="503"/>
      <c r="I2" s="503"/>
      <c r="J2" s="503"/>
    </row>
    <row r="3" spans="1:10" s="15" customFormat="1" ht="23.25" x14ac:dyDescent="0.25">
      <c r="A3" s="503" t="s">
        <v>98</v>
      </c>
      <c r="B3" s="503"/>
      <c r="C3" s="503"/>
      <c r="D3" s="503"/>
      <c r="E3" s="503"/>
      <c r="F3" s="503"/>
      <c r="G3" s="503"/>
      <c r="H3" s="503"/>
      <c r="I3" s="503"/>
      <c r="J3" s="503"/>
    </row>
    <row r="4" spans="1:10" s="15" customFormat="1" ht="23.25" x14ac:dyDescent="0.25">
      <c r="A4" s="566" t="s">
        <v>118</v>
      </c>
      <c r="B4" s="566"/>
      <c r="C4" s="566"/>
      <c r="D4" s="566"/>
      <c r="E4" s="566"/>
      <c r="F4" s="566"/>
      <c r="G4" s="566"/>
      <c r="H4" s="566"/>
      <c r="I4" s="566"/>
      <c r="J4" s="566"/>
    </row>
    <row r="5" spans="1:10" s="15" customFormat="1" x14ac:dyDescent="0.25"/>
    <row r="6" spans="1:10" s="15" customFormat="1" x14ac:dyDescent="0.25"/>
    <row r="7" spans="1:10" s="15" customFormat="1" x14ac:dyDescent="0.25"/>
    <row r="8" spans="1:10" s="15" customFormat="1" x14ac:dyDescent="0.25"/>
    <row r="9" spans="1:10" s="15" customFormat="1" x14ac:dyDescent="0.25"/>
    <row r="10" spans="1:10" s="15" customFormat="1" x14ac:dyDescent="0.25"/>
    <row r="11" spans="1:10" s="15" customFormat="1" x14ac:dyDescent="0.25"/>
    <row r="12" spans="1:10" s="15" customFormat="1" x14ac:dyDescent="0.25"/>
    <row r="13" spans="1:10" s="15" customFormat="1" x14ac:dyDescent="0.25"/>
    <row r="14" spans="1:10" s="15" customFormat="1" x14ac:dyDescent="0.25"/>
    <row r="15" spans="1:10" s="15" customFormat="1" x14ac:dyDescent="0.25"/>
    <row r="16" spans="1:10" s="15" customFormat="1" x14ac:dyDescent="0.25"/>
    <row r="17" s="15" customFormat="1" x14ac:dyDescent="0.25"/>
    <row r="18" s="15" customFormat="1" x14ac:dyDescent="0.25"/>
    <row r="19" s="15" customFormat="1" x14ac:dyDescent="0.25"/>
    <row r="20" s="15" customFormat="1" x14ac:dyDescent="0.25"/>
    <row r="21" s="15" customFormat="1" x14ac:dyDescent="0.25"/>
    <row r="22" s="15" customFormat="1" x14ac:dyDescent="0.25"/>
    <row r="23" s="15" customFormat="1" x14ac:dyDescent="0.25"/>
    <row r="24" s="15" customFormat="1" x14ac:dyDescent="0.25"/>
    <row r="25" s="15" customFormat="1" x14ac:dyDescent="0.25"/>
    <row r="26" s="15" customFormat="1" x14ac:dyDescent="0.25"/>
    <row r="27" s="15" customFormat="1" x14ac:dyDescent="0.25"/>
    <row r="28" s="15" customFormat="1" x14ac:dyDescent="0.25"/>
    <row r="29" s="15" customFormat="1" x14ac:dyDescent="0.25"/>
    <row r="30" s="15" customFormat="1" x14ac:dyDescent="0.25"/>
    <row r="31" s="15" customFormat="1" x14ac:dyDescent="0.25"/>
    <row r="32" s="15" customFormat="1" x14ac:dyDescent="0.25"/>
    <row r="33" s="15" customFormat="1" x14ac:dyDescent="0.25"/>
    <row r="34" s="15" customFormat="1" x14ac:dyDescent="0.25"/>
    <row r="35" s="15" customFormat="1" x14ac:dyDescent="0.25"/>
    <row r="36" s="15" customFormat="1" x14ac:dyDescent="0.25"/>
    <row r="37" s="15" customFormat="1" x14ac:dyDescent="0.25"/>
    <row r="38" s="15" customFormat="1" x14ac:dyDescent="0.25"/>
    <row r="39" s="15" customFormat="1" x14ac:dyDescent="0.25"/>
    <row r="40" s="15" customFormat="1" x14ac:dyDescent="0.25"/>
    <row r="41" s="15" customFormat="1" x14ac:dyDescent="0.25"/>
    <row r="42" s="15" customFormat="1" x14ac:dyDescent="0.25"/>
    <row r="43" s="15" customFormat="1" x14ac:dyDescent="0.25"/>
    <row r="44" s="15" customFormat="1" x14ac:dyDescent="0.25"/>
    <row r="45" s="15" customFormat="1" x14ac:dyDescent="0.25"/>
    <row r="46" s="15" customFormat="1" x14ac:dyDescent="0.25"/>
    <row r="47" s="15" customFormat="1" x14ac:dyDescent="0.25"/>
    <row r="48" s="15" customFormat="1" x14ac:dyDescent="0.25"/>
    <row r="49" spans="1:10" s="15" customFormat="1" x14ac:dyDescent="0.25"/>
    <row r="50" spans="1:10" s="15" customFormat="1" ht="18.75" x14ac:dyDescent="0.25">
      <c r="A50" s="505" t="str">
        <f>ДатаРалли</f>
        <v>25 ноября 2017</v>
      </c>
      <c r="B50" s="505"/>
      <c r="C50" s="505"/>
      <c r="D50" s="505"/>
      <c r="E50" s="505"/>
      <c r="F50" s="505"/>
      <c r="G50" s="505"/>
      <c r="H50" s="505"/>
      <c r="I50" s="505"/>
      <c r="J50" s="505"/>
    </row>
    <row r="51" spans="1:10" s="15" customFormat="1" ht="18.75" x14ac:dyDescent="0.25">
      <c r="A51" s="506" t="s">
        <v>7</v>
      </c>
      <c r="B51" s="506"/>
      <c r="C51" s="506"/>
      <c r="D51" s="506"/>
      <c r="E51" s="506"/>
      <c r="F51" s="506"/>
      <c r="G51" s="506"/>
      <c r="H51" s="506"/>
      <c r="I51" s="506"/>
      <c r="J51" s="506"/>
    </row>
  </sheetData>
  <mergeCells count="5">
    <mergeCell ref="A51:J51"/>
    <mergeCell ref="A2:J2"/>
    <mergeCell ref="A3:J3"/>
    <mergeCell ref="A4:J4"/>
    <mergeCell ref="A50:J50"/>
  </mergeCells>
  <pageMargins left="0.39370078740157483" right="0.39370078740157483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J31"/>
  <sheetViews>
    <sheetView view="pageBreakPreview" zoomScaleNormal="55" zoomScaleSheetLayoutView="100" workbookViewId="0">
      <selection activeCell="A10" sqref="A10:C10"/>
    </sheetView>
  </sheetViews>
  <sheetFormatPr defaultRowHeight="15" x14ac:dyDescent="0.25"/>
  <cols>
    <col min="1" max="3" width="9.140625" style="15"/>
    <col min="4" max="9" width="9.85546875" style="15" customWidth="1"/>
    <col min="10" max="10" width="8" style="15" customWidth="1"/>
    <col min="11" max="16384" width="9.140625" style="15"/>
  </cols>
  <sheetData>
    <row r="1" spans="1:10" ht="18.75" x14ac:dyDescent="0.25">
      <c r="A1" s="509" t="s">
        <v>6</v>
      </c>
      <c r="B1" s="509"/>
      <c r="C1" s="509"/>
      <c r="D1" s="509"/>
      <c r="E1" s="509"/>
      <c r="F1" s="509"/>
      <c r="G1" s="509"/>
      <c r="H1" s="509"/>
      <c r="I1" s="509"/>
      <c r="J1" s="509"/>
    </row>
    <row r="2" spans="1:10" ht="18.75" x14ac:dyDescent="0.25">
      <c r="A2" s="509" t="s">
        <v>232</v>
      </c>
      <c r="B2" s="509"/>
      <c r="C2" s="509"/>
      <c r="D2" s="509"/>
      <c r="E2" s="509"/>
      <c r="F2" s="509"/>
      <c r="G2" s="509"/>
      <c r="H2" s="509"/>
      <c r="I2" s="509"/>
      <c r="J2" s="509"/>
    </row>
    <row r="3" spans="1:10" ht="3" customHeight="1" x14ac:dyDescent="0.25">
      <c r="A3" s="17"/>
      <c r="B3" s="17"/>
      <c r="C3" s="17"/>
      <c r="D3" s="17"/>
    </row>
    <row r="4" spans="1:10" ht="18.75" x14ac:dyDescent="0.25">
      <c r="A4" s="509" t="s">
        <v>258</v>
      </c>
      <c r="B4" s="509"/>
      <c r="C4" s="509"/>
      <c r="D4" s="509"/>
      <c r="E4" s="509"/>
      <c r="F4" s="509"/>
      <c r="G4" s="509"/>
      <c r="H4" s="509"/>
      <c r="I4" s="509"/>
      <c r="J4" s="509"/>
    </row>
    <row r="5" spans="1:10" ht="3" customHeight="1" x14ac:dyDescent="0.25">
      <c r="A5" s="17"/>
      <c r="B5" s="17"/>
      <c r="C5" s="17"/>
      <c r="D5" s="17"/>
    </row>
    <row r="6" spans="1:10" ht="18.75" x14ac:dyDescent="0.25">
      <c r="A6" s="509" t="s">
        <v>206</v>
      </c>
      <c r="B6" s="509"/>
      <c r="C6" s="509"/>
      <c r="D6" s="509"/>
      <c r="E6" s="509"/>
      <c r="F6" s="509"/>
      <c r="G6" s="509"/>
      <c r="H6" s="509"/>
      <c r="I6" s="509"/>
      <c r="J6" s="509"/>
    </row>
    <row r="7" spans="1:10" ht="30" customHeight="1" x14ac:dyDescent="0.25">
      <c r="A7" s="521"/>
      <c r="B7" s="522"/>
      <c r="C7" s="523"/>
      <c r="D7" s="510" t="s">
        <v>59</v>
      </c>
      <c r="E7" s="510"/>
      <c r="F7" s="510"/>
      <c r="G7" s="510"/>
      <c r="H7" s="510"/>
      <c r="I7" s="510"/>
      <c r="J7" s="510"/>
    </row>
    <row r="8" spans="1:10" ht="30" customHeight="1" x14ac:dyDescent="0.25">
      <c r="A8" s="512"/>
      <c r="B8" s="513"/>
      <c r="C8" s="514"/>
      <c r="D8" s="511" t="s">
        <v>60</v>
      </c>
      <c r="E8" s="511"/>
      <c r="F8" s="511"/>
      <c r="G8" s="511"/>
      <c r="H8" s="511"/>
      <c r="I8" s="511"/>
      <c r="J8" s="511"/>
    </row>
    <row r="9" spans="1:10" ht="30" customHeight="1" x14ac:dyDescent="0.25">
      <c r="A9" s="512"/>
      <c r="B9" s="513"/>
      <c r="C9" s="514"/>
      <c r="D9" s="511" t="s">
        <v>55</v>
      </c>
      <c r="E9" s="511"/>
      <c r="F9" s="511"/>
      <c r="G9" s="511"/>
      <c r="H9" s="511"/>
      <c r="I9" s="511"/>
      <c r="J9" s="511"/>
    </row>
    <row r="10" spans="1:10" ht="30" customHeight="1" x14ac:dyDescent="0.25">
      <c r="A10" s="512"/>
      <c r="B10" s="513"/>
      <c r="C10" s="514"/>
      <c r="D10" s="511" t="s">
        <v>96</v>
      </c>
      <c r="E10" s="511"/>
      <c r="F10" s="511"/>
      <c r="G10" s="511"/>
      <c r="H10" s="511"/>
      <c r="I10" s="511"/>
      <c r="J10" s="511"/>
    </row>
    <row r="11" spans="1:10" ht="30" customHeight="1" x14ac:dyDescent="0.25">
      <c r="A11" s="512"/>
      <c r="B11" s="513"/>
      <c r="C11" s="514"/>
      <c r="D11" s="507" t="s">
        <v>69</v>
      </c>
      <c r="E11" s="507"/>
      <c r="F11" s="507"/>
      <c r="G11" s="507"/>
      <c r="H11" s="507"/>
      <c r="I11" s="507"/>
      <c r="J11" s="507"/>
    </row>
    <row r="12" spans="1:10" ht="30" customHeight="1" x14ac:dyDescent="0.25">
      <c r="A12" s="524" t="s">
        <v>276</v>
      </c>
      <c r="B12" s="525"/>
      <c r="C12" s="526"/>
      <c r="D12" s="507" t="s">
        <v>277</v>
      </c>
      <c r="E12" s="507"/>
      <c r="F12" s="507"/>
      <c r="G12" s="507"/>
      <c r="H12" s="507"/>
      <c r="I12" s="507"/>
      <c r="J12" s="507"/>
    </row>
    <row r="13" spans="1:10" ht="30" customHeight="1" x14ac:dyDescent="0.25">
      <c r="A13" s="527" t="s">
        <v>289</v>
      </c>
      <c r="B13" s="528"/>
      <c r="C13" s="529"/>
      <c r="D13" s="518" t="s">
        <v>312</v>
      </c>
      <c r="E13" s="519"/>
      <c r="F13" s="519"/>
      <c r="G13" s="519"/>
      <c r="H13" s="519"/>
      <c r="I13" s="519"/>
      <c r="J13" s="520"/>
    </row>
    <row r="14" spans="1:10" ht="30" customHeight="1" x14ac:dyDescent="0.25">
      <c r="A14" s="512"/>
      <c r="B14" s="513"/>
      <c r="C14" s="514"/>
      <c r="D14" s="507" t="s">
        <v>54</v>
      </c>
      <c r="E14" s="507"/>
      <c r="F14" s="507"/>
      <c r="G14" s="507"/>
      <c r="H14" s="507"/>
      <c r="I14" s="507"/>
      <c r="J14" s="507"/>
    </row>
    <row r="15" spans="1:10" ht="30" customHeight="1" x14ac:dyDescent="0.25">
      <c r="A15" s="512"/>
      <c r="B15" s="513"/>
      <c r="C15" s="514"/>
      <c r="D15" s="507" t="s">
        <v>56</v>
      </c>
      <c r="E15" s="507"/>
      <c r="F15" s="507"/>
      <c r="G15" s="507"/>
      <c r="H15" s="507"/>
      <c r="I15" s="507"/>
      <c r="J15" s="507"/>
    </row>
    <row r="16" spans="1:10" ht="30" customHeight="1" x14ac:dyDescent="0.25">
      <c r="A16" s="512"/>
      <c r="B16" s="513"/>
      <c r="C16" s="514"/>
      <c r="D16" s="507" t="s">
        <v>57</v>
      </c>
      <c r="E16" s="507"/>
      <c r="F16" s="507"/>
      <c r="G16" s="507"/>
      <c r="H16" s="507"/>
      <c r="I16" s="507"/>
      <c r="J16" s="507"/>
    </row>
    <row r="17" spans="1:10" ht="30" customHeight="1" x14ac:dyDescent="0.25">
      <c r="A17" s="512"/>
      <c r="B17" s="513"/>
      <c r="C17" s="514"/>
      <c r="D17" s="507" t="s">
        <v>64</v>
      </c>
      <c r="E17" s="507"/>
      <c r="F17" s="507"/>
      <c r="G17" s="507"/>
      <c r="H17" s="507"/>
      <c r="I17" s="507"/>
      <c r="J17" s="507"/>
    </row>
    <row r="18" spans="1:10" ht="30" customHeight="1" x14ac:dyDescent="0.25">
      <c r="A18" s="512"/>
      <c r="B18" s="513"/>
      <c r="C18" s="514"/>
      <c r="D18" s="507" t="s">
        <v>97</v>
      </c>
      <c r="E18" s="507"/>
      <c r="F18" s="507"/>
      <c r="G18" s="507"/>
      <c r="H18" s="507"/>
      <c r="I18" s="507"/>
      <c r="J18" s="507"/>
    </row>
    <row r="19" spans="1:10" ht="30" customHeight="1" x14ac:dyDescent="0.25">
      <c r="A19" s="512"/>
      <c r="B19" s="513"/>
      <c r="C19" s="514"/>
      <c r="D19" s="507" t="s">
        <v>116</v>
      </c>
      <c r="E19" s="507"/>
      <c r="F19" s="507"/>
      <c r="G19" s="507"/>
      <c r="H19" s="507"/>
      <c r="I19" s="507"/>
      <c r="J19" s="507"/>
    </row>
    <row r="20" spans="1:10" ht="30" customHeight="1" x14ac:dyDescent="0.25">
      <c r="A20" s="512"/>
      <c r="B20" s="513"/>
      <c r="C20" s="514"/>
      <c r="D20" s="507" t="s">
        <v>117</v>
      </c>
      <c r="E20" s="507"/>
      <c r="F20" s="507"/>
      <c r="G20" s="507"/>
      <c r="H20" s="507"/>
      <c r="I20" s="507"/>
      <c r="J20" s="507"/>
    </row>
    <row r="21" spans="1:10" ht="30" customHeight="1" x14ac:dyDescent="0.25">
      <c r="A21" s="512"/>
      <c r="B21" s="513"/>
      <c r="C21" s="514"/>
      <c r="D21" s="507" t="s">
        <v>290</v>
      </c>
      <c r="E21" s="507"/>
      <c r="F21" s="507"/>
      <c r="G21" s="507"/>
      <c r="H21" s="507"/>
      <c r="I21" s="507"/>
      <c r="J21" s="507"/>
    </row>
    <row r="22" spans="1:10" ht="30" customHeight="1" x14ac:dyDescent="0.25">
      <c r="A22" s="515"/>
      <c r="B22" s="516"/>
      <c r="C22" s="517"/>
      <c r="D22" s="508" t="s">
        <v>100</v>
      </c>
      <c r="E22" s="508"/>
      <c r="F22" s="508"/>
      <c r="G22" s="508"/>
      <c r="H22" s="508"/>
      <c r="I22" s="508"/>
      <c r="J22" s="508"/>
    </row>
    <row r="23" spans="1:10" ht="3" customHeight="1" x14ac:dyDescent="0.25">
      <c r="A23" s="17"/>
      <c r="B23" s="17"/>
      <c r="C23" s="17"/>
      <c r="D23" s="17"/>
    </row>
    <row r="24" spans="1:10" ht="18.75" x14ac:dyDescent="0.25">
      <c r="A24" s="509" t="s">
        <v>58</v>
      </c>
      <c r="B24" s="509"/>
      <c r="C24" s="509"/>
      <c r="D24" s="509"/>
      <c r="E24" s="509"/>
      <c r="F24" s="509"/>
      <c r="G24" s="509"/>
      <c r="H24" s="509"/>
      <c r="I24" s="509"/>
      <c r="J24" s="509"/>
    </row>
    <row r="25" spans="1:10" ht="30" customHeight="1" x14ac:dyDescent="0.25">
      <c r="A25" s="521"/>
      <c r="B25" s="522"/>
      <c r="C25" s="523"/>
      <c r="D25" s="510" t="s">
        <v>61</v>
      </c>
      <c r="E25" s="510"/>
      <c r="F25" s="510"/>
      <c r="G25" s="510"/>
      <c r="H25" s="510"/>
      <c r="I25" s="510"/>
      <c r="J25" s="510"/>
    </row>
    <row r="26" spans="1:10" ht="30" customHeight="1" x14ac:dyDescent="0.25">
      <c r="A26" s="512"/>
      <c r="B26" s="513"/>
      <c r="C26" s="514"/>
      <c r="D26" s="511" t="s">
        <v>62</v>
      </c>
      <c r="E26" s="511"/>
      <c r="F26" s="511"/>
      <c r="G26" s="511"/>
      <c r="H26" s="511"/>
      <c r="I26" s="511"/>
      <c r="J26" s="511"/>
    </row>
    <row r="27" spans="1:10" ht="30" customHeight="1" x14ac:dyDescent="0.25">
      <c r="A27" s="512"/>
      <c r="B27" s="513"/>
      <c r="C27" s="514"/>
      <c r="D27" s="511" t="s">
        <v>65</v>
      </c>
      <c r="E27" s="511"/>
      <c r="F27" s="511"/>
      <c r="G27" s="511"/>
      <c r="H27" s="511"/>
      <c r="I27" s="511"/>
      <c r="J27" s="511"/>
    </row>
    <row r="28" spans="1:10" ht="30" customHeight="1" x14ac:dyDescent="0.25">
      <c r="A28" s="512"/>
      <c r="B28" s="513"/>
      <c r="C28" s="514"/>
      <c r="D28" s="511" t="s">
        <v>66</v>
      </c>
      <c r="E28" s="511"/>
      <c r="F28" s="511"/>
      <c r="G28" s="511"/>
      <c r="H28" s="511"/>
      <c r="I28" s="511"/>
      <c r="J28" s="511"/>
    </row>
    <row r="29" spans="1:10" ht="30" customHeight="1" x14ac:dyDescent="0.25">
      <c r="A29" s="512"/>
      <c r="B29" s="513"/>
      <c r="C29" s="514"/>
      <c r="D29" s="507" t="s">
        <v>99</v>
      </c>
      <c r="E29" s="507"/>
      <c r="F29" s="507"/>
      <c r="G29" s="507"/>
      <c r="H29" s="507"/>
      <c r="I29" s="507"/>
      <c r="J29" s="507"/>
    </row>
    <row r="30" spans="1:10" ht="30" customHeight="1" x14ac:dyDescent="0.25">
      <c r="A30" s="512"/>
      <c r="B30" s="513"/>
      <c r="C30" s="514"/>
      <c r="D30" s="507" t="s">
        <v>63</v>
      </c>
      <c r="E30" s="507"/>
      <c r="F30" s="507"/>
      <c r="G30" s="507"/>
      <c r="H30" s="507"/>
      <c r="I30" s="507"/>
      <c r="J30" s="507"/>
    </row>
    <row r="31" spans="1:10" ht="30" customHeight="1" x14ac:dyDescent="0.25">
      <c r="A31" s="515"/>
      <c r="B31" s="516"/>
      <c r="C31" s="517"/>
      <c r="D31" s="508" t="s">
        <v>387</v>
      </c>
      <c r="E31" s="508"/>
      <c r="F31" s="508"/>
      <c r="G31" s="508"/>
      <c r="H31" s="508"/>
      <c r="I31" s="508"/>
      <c r="J31" s="508"/>
    </row>
  </sheetData>
  <mergeCells count="51">
    <mergeCell ref="A31:C31"/>
    <mergeCell ref="D31:J31"/>
    <mergeCell ref="A28:C28"/>
    <mergeCell ref="D28:J28"/>
    <mergeCell ref="A29:C29"/>
    <mergeCell ref="D29:J29"/>
    <mergeCell ref="A30:C30"/>
    <mergeCell ref="D30:J30"/>
    <mergeCell ref="A27:C27"/>
    <mergeCell ref="D27:J27"/>
    <mergeCell ref="A20:C20"/>
    <mergeCell ref="D20:J20"/>
    <mergeCell ref="A21:C21"/>
    <mergeCell ref="D21:J21"/>
    <mergeCell ref="A22:C22"/>
    <mergeCell ref="D22:J22"/>
    <mergeCell ref="A24:J24"/>
    <mergeCell ref="A25:C25"/>
    <mergeCell ref="D25:J25"/>
    <mergeCell ref="A26:C26"/>
    <mergeCell ref="D26:J26"/>
    <mergeCell ref="A17:C17"/>
    <mergeCell ref="D17:J17"/>
    <mergeCell ref="A18:C18"/>
    <mergeCell ref="D18:J18"/>
    <mergeCell ref="A19:C19"/>
    <mergeCell ref="D19:J19"/>
    <mergeCell ref="A14:C14"/>
    <mergeCell ref="D14:J14"/>
    <mergeCell ref="A15:C15"/>
    <mergeCell ref="D15:J15"/>
    <mergeCell ref="A16:C16"/>
    <mergeCell ref="D16:J16"/>
    <mergeCell ref="A11:C11"/>
    <mergeCell ref="D11:J11"/>
    <mergeCell ref="A12:C12"/>
    <mergeCell ref="D12:J12"/>
    <mergeCell ref="A13:C13"/>
    <mergeCell ref="D13:J13"/>
    <mergeCell ref="A8:C8"/>
    <mergeCell ref="D8:J8"/>
    <mergeCell ref="A9:C9"/>
    <mergeCell ref="D9:J9"/>
    <mergeCell ref="A10:C10"/>
    <mergeCell ref="D10:J10"/>
    <mergeCell ref="A1:J1"/>
    <mergeCell ref="A2:J2"/>
    <mergeCell ref="A4:J4"/>
    <mergeCell ref="A6:J6"/>
    <mergeCell ref="A7:C7"/>
    <mergeCell ref="D7:J7"/>
  </mergeCells>
  <pageMargins left="0.39370078740157483" right="0.39370078740157483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L64"/>
  <sheetViews>
    <sheetView view="pageBreakPreview" topLeftCell="A19" zoomScale="85" zoomScaleNormal="70" zoomScaleSheetLayoutView="85" zoomScalePageLayoutView="40" workbookViewId="0">
      <selection activeCell="C10" sqref="C10"/>
    </sheetView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9" width="9.140625" style="15"/>
    <col min="10" max="10" width="8" style="15" customWidth="1"/>
    <col min="11" max="16384" width="9.140625" style="15"/>
  </cols>
  <sheetData>
    <row r="1" spans="1:7" ht="17.45" customHeight="1" x14ac:dyDescent="0.25">
      <c r="A1" s="2"/>
      <c r="B1" s="3"/>
      <c r="C1" s="4"/>
      <c r="D1" s="458" t="str">
        <f>НазваниеКраткое</f>
        <v>Западные ворота - 2017</v>
      </c>
      <c r="E1" s="459"/>
      <c r="F1" s="167" t="s">
        <v>8</v>
      </c>
      <c r="G1" s="168">
        <f>КВ1Расстояние</f>
        <v>87.18</v>
      </c>
    </row>
    <row r="2" spans="1:7" ht="17.45" customHeight="1" x14ac:dyDescent="0.25">
      <c r="A2" s="5"/>
      <c r="B2" s="6"/>
      <c r="C2" s="7"/>
      <c r="D2" s="458" t="str">
        <f>КВ0</f>
        <v>КВ-0 Старт</v>
      </c>
      <c r="E2" s="459"/>
      <c r="F2" s="167" t="s">
        <v>10</v>
      </c>
      <c r="G2" s="410">
        <f>КВ1Время</f>
        <v>105</v>
      </c>
    </row>
    <row r="3" spans="1:7" ht="17.45" customHeight="1" x14ac:dyDescent="0.25">
      <c r="A3" s="5"/>
      <c r="B3" s="6"/>
      <c r="C3" s="7"/>
      <c r="D3" s="458" t="str">
        <f>КВ1</f>
        <v>КВ-1 Борщевик</v>
      </c>
      <c r="E3" s="459"/>
      <c r="F3" s="167" t="s">
        <v>9</v>
      </c>
      <c r="G3" s="168">
        <f>КВ1Скорость</f>
        <v>49.82</v>
      </c>
    </row>
    <row r="4" spans="1:7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7" ht="240" customHeight="1" x14ac:dyDescent="0.25">
      <c r="A5" s="10">
        <v>1</v>
      </c>
      <c r="B5" s="166">
        <v>0</v>
      </c>
      <c r="C5" s="165">
        <v>0</v>
      </c>
      <c r="D5" s="542"/>
      <c r="E5" s="542"/>
      <c r="F5" s="542"/>
      <c r="G5" s="165">
        <f t="shared" ref="G5:G64" si="0">КВ1Расстояние-B5</f>
        <v>87.18</v>
      </c>
    </row>
    <row r="6" spans="1:7" ht="120" customHeight="1" x14ac:dyDescent="0.25">
      <c r="A6" s="10">
        <f>1+A5</f>
        <v>2</v>
      </c>
      <c r="B6" s="166">
        <v>0.17</v>
      </c>
      <c r="C6" s="165">
        <f t="shared" ref="C6:C64" si="1">B6-B5</f>
        <v>0.17</v>
      </c>
      <c r="D6" s="10"/>
      <c r="E6" s="530"/>
      <c r="F6" s="530"/>
      <c r="G6" s="165">
        <f t="shared" si="0"/>
        <v>87.01</v>
      </c>
    </row>
    <row r="7" spans="1:7" ht="120" customHeight="1" x14ac:dyDescent="0.25">
      <c r="A7" s="10">
        <f t="shared" ref="A7:A64" si="2">1+A6</f>
        <v>3</v>
      </c>
      <c r="B7" s="166">
        <v>0.79</v>
      </c>
      <c r="C7" s="165">
        <f t="shared" si="1"/>
        <v>0.62</v>
      </c>
      <c r="D7" s="10"/>
      <c r="E7" s="530"/>
      <c r="F7" s="530"/>
      <c r="G7" s="165">
        <f t="shared" si="0"/>
        <v>86.39</v>
      </c>
    </row>
    <row r="8" spans="1:7" ht="120" customHeight="1" x14ac:dyDescent="0.25">
      <c r="A8" s="10">
        <f t="shared" si="2"/>
        <v>4</v>
      </c>
      <c r="B8" s="166">
        <v>1.51</v>
      </c>
      <c r="C8" s="165">
        <f t="shared" si="1"/>
        <v>0.72</v>
      </c>
      <c r="D8" s="10"/>
      <c r="E8" s="530"/>
      <c r="F8" s="530"/>
      <c r="G8" s="165">
        <f t="shared" si="0"/>
        <v>85.67</v>
      </c>
    </row>
    <row r="9" spans="1:7" ht="120" customHeight="1" x14ac:dyDescent="0.25">
      <c r="A9" s="10">
        <f t="shared" si="2"/>
        <v>5</v>
      </c>
      <c r="B9" s="166">
        <v>2.39</v>
      </c>
      <c r="C9" s="165">
        <f t="shared" si="1"/>
        <v>0.88000000000000012</v>
      </c>
      <c r="D9" s="10"/>
      <c r="E9" s="531" t="s">
        <v>325</v>
      </c>
      <c r="F9" s="532"/>
      <c r="G9" s="165">
        <f t="shared" si="0"/>
        <v>84.79</v>
      </c>
    </row>
    <row r="10" spans="1:7" ht="120" customHeight="1" x14ac:dyDescent="0.25">
      <c r="A10" s="10">
        <f t="shared" si="2"/>
        <v>6</v>
      </c>
      <c r="B10" s="166">
        <v>8.33</v>
      </c>
      <c r="C10" s="165">
        <f t="shared" si="1"/>
        <v>5.9399999999999995</v>
      </c>
      <c r="D10" s="10"/>
      <c r="E10" s="530" t="s">
        <v>326</v>
      </c>
      <c r="F10" s="530"/>
      <c r="G10" s="165">
        <f t="shared" si="0"/>
        <v>78.850000000000009</v>
      </c>
    </row>
    <row r="11" spans="1:7" ht="120" customHeight="1" x14ac:dyDescent="0.25">
      <c r="A11" s="10">
        <f t="shared" si="2"/>
        <v>7</v>
      </c>
      <c r="B11" s="166">
        <v>9.52</v>
      </c>
      <c r="C11" s="166">
        <f t="shared" si="1"/>
        <v>1.1899999999999995</v>
      </c>
      <c r="D11" s="10"/>
      <c r="E11" s="530"/>
      <c r="F11" s="530"/>
      <c r="G11" s="165">
        <f t="shared" si="0"/>
        <v>77.660000000000011</v>
      </c>
    </row>
    <row r="12" spans="1:7" ht="120" customHeight="1" x14ac:dyDescent="0.25">
      <c r="A12" s="10">
        <f t="shared" si="2"/>
        <v>8</v>
      </c>
      <c r="B12" s="194">
        <v>12.6</v>
      </c>
      <c r="C12" s="194">
        <f t="shared" si="1"/>
        <v>3.08</v>
      </c>
      <c r="D12" s="10"/>
      <c r="E12" s="530"/>
      <c r="F12" s="530"/>
      <c r="G12" s="204">
        <f t="shared" si="0"/>
        <v>74.580000000000013</v>
      </c>
    </row>
    <row r="13" spans="1:7" ht="120" customHeight="1" x14ac:dyDescent="0.25">
      <c r="A13" s="10">
        <f t="shared" si="2"/>
        <v>9</v>
      </c>
      <c r="B13" s="194">
        <v>12.89</v>
      </c>
      <c r="C13" s="166">
        <f t="shared" si="1"/>
        <v>0.29000000000000092</v>
      </c>
      <c r="D13" s="10"/>
      <c r="E13" s="530"/>
      <c r="F13" s="530"/>
      <c r="G13" s="204">
        <f t="shared" si="0"/>
        <v>74.290000000000006</v>
      </c>
    </row>
    <row r="14" spans="1:7" ht="120" customHeight="1" x14ac:dyDescent="0.25">
      <c r="A14" s="10">
        <f t="shared" si="2"/>
        <v>10</v>
      </c>
      <c r="B14" s="194">
        <v>16.329999999999998</v>
      </c>
      <c r="C14" s="194">
        <f t="shared" si="1"/>
        <v>3.4399999999999977</v>
      </c>
      <c r="D14" s="10"/>
      <c r="E14" s="530"/>
      <c r="F14" s="530"/>
      <c r="G14" s="204">
        <f t="shared" si="0"/>
        <v>70.850000000000009</v>
      </c>
    </row>
    <row r="15" spans="1:7" ht="120" customHeight="1" x14ac:dyDescent="0.25">
      <c r="A15" s="10">
        <f t="shared" si="2"/>
        <v>11</v>
      </c>
      <c r="B15" s="194">
        <v>16.43</v>
      </c>
      <c r="C15" s="166">
        <f t="shared" si="1"/>
        <v>0.10000000000000142</v>
      </c>
      <c r="D15" s="10"/>
      <c r="E15" s="530"/>
      <c r="F15" s="530"/>
      <c r="G15" s="204">
        <f t="shared" si="0"/>
        <v>70.75</v>
      </c>
    </row>
    <row r="16" spans="1:7" ht="120" customHeight="1" x14ac:dyDescent="0.25">
      <c r="A16" s="10">
        <f t="shared" si="2"/>
        <v>12</v>
      </c>
      <c r="B16" s="194">
        <v>16.579999999999998</v>
      </c>
      <c r="C16" s="166">
        <f t="shared" si="1"/>
        <v>0.14999999999999858</v>
      </c>
      <c r="D16" s="10"/>
      <c r="E16" s="530"/>
      <c r="F16" s="530"/>
      <c r="G16" s="204">
        <f t="shared" si="0"/>
        <v>70.600000000000009</v>
      </c>
    </row>
    <row r="17" spans="1:12" ht="120" customHeight="1" x14ac:dyDescent="0.25">
      <c r="A17" s="10">
        <f t="shared" si="2"/>
        <v>13</v>
      </c>
      <c r="B17" s="194">
        <v>16.690000000000001</v>
      </c>
      <c r="C17" s="166">
        <f t="shared" si="1"/>
        <v>0.11000000000000298</v>
      </c>
      <c r="D17" s="10"/>
      <c r="E17" s="530"/>
      <c r="F17" s="530"/>
      <c r="G17" s="204">
        <f t="shared" si="0"/>
        <v>70.490000000000009</v>
      </c>
    </row>
    <row r="18" spans="1:12" ht="120" customHeight="1" x14ac:dyDescent="0.25">
      <c r="A18" s="10">
        <f t="shared" si="2"/>
        <v>14</v>
      </c>
      <c r="B18" s="194">
        <v>16.82</v>
      </c>
      <c r="C18" s="166">
        <f t="shared" si="1"/>
        <v>0.12999999999999901</v>
      </c>
      <c r="D18" s="10"/>
      <c r="E18" s="530"/>
      <c r="F18" s="530"/>
      <c r="G18" s="204">
        <f t="shared" si="0"/>
        <v>70.360000000000014</v>
      </c>
    </row>
    <row r="19" spans="1:12" ht="120" customHeight="1" x14ac:dyDescent="0.25">
      <c r="A19" s="10">
        <f t="shared" si="2"/>
        <v>15</v>
      </c>
      <c r="B19" s="194">
        <v>20.149999999999999</v>
      </c>
      <c r="C19" s="194">
        <f t="shared" si="1"/>
        <v>3.3299999999999983</v>
      </c>
      <c r="D19" s="209"/>
      <c r="E19" s="530"/>
      <c r="F19" s="530"/>
      <c r="G19" s="204">
        <f t="shared" si="0"/>
        <v>67.03</v>
      </c>
    </row>
    <row r="20" spans="1:12" ht="120" customHeight="1" x14ac:dyDescent="0.25">
      <c r="A20" s="10">
        <f t="shared" si="2"/>
        <v>16</v>
      </c>
      <c r="B20" s="194">
        <v>20.56</v>
      </c>
      <c r="C20" s="166">
        <f t="shared" si="1"/>
        <v>0.41000000000000014</v>
      </c>
      <c r="D20" s="404"/>
      <c r="E20" s="530"/>
      <c r="F20" s="530"/>
      <c r="G20" s="204">
        <f t="shared" si="0"/>
        <v>66.62</v>
      </c>
    </row>
    <row r="21" spans="1:12" ht="120" customHeight="1" x14ac:dyDescent="0.25">
      <c r="A21" s="10">
        <f t="shared" si="2"/>
        <v>17</v>
      </c>
      <c r="B21" s="166">
        <v>23.61</v>
      </c>
      <c r="C21" s="166">
        <f t="shared" si="1"/>
        <v>3.0500000000000007</v>
      </c>
      <c r="D21" s="10"/>
      <c r="E21" s="530"/>
      <c r="F21" s="530"/>
      <c r="G21" s="165">
        <f t="shared" si="0"/>
        <v>63.570000000000007</v>
      </c>
    </row>
    <row r="22" spans="1:12" ht="120" customHeight="1" x14ac:dyDescent="0.45">
      <c r="A22" s="10">
        <f t="shared" si="2"/>
        <v>18</v>
      </c>
      <c r="B22" s="14">
        <v>26.07</v>
      </c>
      <c r="C22" s="165">
        <f t="shared" si="1"/>
        <v>2.4600000000000009</v>
      </c>
      <c r="D22" s="10"/>
      <c r="E22" s="533" t="s">
        <v>327</v>
      </c>
      <c r="F22" s="534"/>
      <c r="G22" s="165">
        <f t="shared" si="0"/>
        <v>61.110000000000007</v>
      </c>
      <c r="I22" s="86"/>
      <c r="J22" s="15" t="s">
        <v>296</v>
      </c>
      <c r="L22" s="210" t="s">
        <v>292</v>
      </c>
    </row>
    <row r="23" spans="1:12" ht="120" customHeight="1" x14ac:dyDescent="0.25">
      <c r="A23" s="10">
        <f t="shared" si="2"/>
        <v>19</v>
      </c>
      <c r="B23" s="166">
        <v>28.43</v>
      </c>
      <c r="C23" s="166">
        <f t="shared" si="1"/>
        <v>2.3599999999999994</v>
      </c>
      <c r="D23" s="10"/>
      <c r="E23" s="535" t="s">
        <v>328</v>
      </c>
      <c r="F23" s="535"/>
      <c r="G23" s="166">
        <f t="shared" si="0"/>
        <v>58.750000000000007</v>
      </c>
      <c r="I23" s="86"/>
    </row>
    <row r="24" spans="1:12" ht="120" customHeight="1" x14ac:dyDescent="0.25">
      <c r="A24" s="10">
        <f t="shared" si="2"/>
        <v>20</v>
      </c>
      <c r="B24" s="166">
        <v>29.6</v>
      </c>
      <c r="C24" s="11">
        <f t="shared" si="1"/>
        <v>1.1700000000000017</v>
      </c>
      <c r="D24" s="10"/>
      <c r="E24" s="530"/>
      <c r="F24" s="530"/>
      <c r="G24" s="166">
        <f t="shared" si="0"/>
        <v>57.580000000000005</v>
      </c>
      <c r="I24" s="86"/>
    </row>
    <row r="25" spans="1:12" ht="120" customHeight="1" x14ac:dyDescent="0.25">
      <c r="A25" s="10">
        <f t="shared" si="2"/>
        <v>21</v>
      </c>
      <c r="B25" s="166">
        <v>30.45</v>
      </c>
      <c r="C25" s="14">
        <f t="shared" si="1"/>
        <v>0.84999999999999787</v>
      </c>
      <c r="D25" s="10"/>
      <c r="E25" s="530"/>
      <c r="F25" s="530"/>
      <c r="G25" s="166">
        <f t="shared" si="0"/>
        <v>56.730000000000004</v>
      </c>
      <c r="I25" s="86"/>
    </row>
    <row r="26" spans="1:12" ht="120" customHeight="1" x14ac:dyDescent="0.25">
      <c r="A26" s="10">
        <f t="shared" si="2"/>
        <v>22</v>
      </c>
      <c r="B26" s="194">
        <v>30.66</v>
      </c>
      <c r="C26" s="194">
        <f t="shared" si="1"/>
        <v>0.21000000000000085</v>
      </c>
      <c r="D26" s="10"/>
      <c r="E26" s="531"/>
      <c r="F26" s="532"/>
      <c r="G26" s="194">
        <f t="shared" si="0"/>
        <v>56.52000000000001</v>
      </c>
      <c r="I26" s="86"/>
    </row>
    <row r="27" spans="1:12" ht="120" customHeight="1" x14ac:dyDescent="0.25">
      <c r="A27" s="10">
        <f t="shared" si="2"/>
        <v>23</v>
      </c>
      <c r="B27" s="194">
        <v>34.44</v>
      </c>
      <c r="C27" s="166">
        <f t="shared" si="1"/>
        <v>3.7799999999999976</v>
      </c>
      <c r="D27" s="10"/>
      <c r="E27" s="531"/>
      <c r="F27" s="532"/>
      <c r="G27" s="194">
        <f t="shared" si="0"/>
        <v>52.740000000000009</v>
      </c>
      <c r="I27" s="86"/>
    </row>
    <row r="28" spans="1:12" ht="120" customHeight="1" x14ac:dyDescent="0.25">
      <c r="A28" s="10">
        <f t="shared" si="2"/>
        <v>24</v>
      </c>
      <c r="B28" s="194">
        <v>35.549999999999997</v>
      </c>
      <c r="C28" s="194">
        <f t="shared" si="1"/>
        <v>1.1099999999999994</v>
      </c>
      <c r="D28" s="10"/>
      <c r="E28" s="531"/>
      <c r="F28" s="532"/>
      <c r="G28" s="194">
        <f t="shared" si="0"/>
        <v>51.63000000000001</v>
      </c>
      <c r="I28" s="86"/>
    </row>
    <row r="29" spans="1:12" ht="120" customHeight="1" x14ac:dyDescent="0.25">
      <c r="A29" s="10">
        <f>1+A28</f>
        <v>25</v>
      </c>
      <c r="B29" s="166">
        <v>37.85</v>
      </c>
      <c r="C29" s="194">
        <f>B29-B28</f>
        <v>2.3000000000000043</v>
      </c>
      <c r="D29" s="10"/>
      <c r="E29" s="531"/>
      <c r="F29" s="532"/>
      <c r="G29" s="166">
        <f t="shared" si="0"/>
        <v>49.330000000000005</v>
      </c>
      <c r="I29" s="86"/>
      <c r="J29" s="15" t="s">
        <v>323</v>
      </c>
    </row>
    <row r="30" spans="1:12" ht="120" customHeight="1" x14ac:dyDescent="0.35">
      <c r="A30" s="10">
        <f t="shared" si="2"/>
        <v>26</v>
      </c>
      <c r="B30" s="166">
        <v>38.22</v>
      </c>
      <c r="C30" s="166">
        <f t="shared" si="1"/>
        <v>0.36999999999999744</v>
      </c>
      <c r="D30" s="10"/>
      <c r="E30" s="533" t="s">
        <v>322</v>
      </c>
      <c r="F30" s="534"/>
      <c r="G30" s="166">
        <f t="shared" si="0"/>
        <v>48.960000000000008</v>
      </c>
      <c r="I30" s="86"/>
    </row>
    <row r="31" spans="1:12" ht="120" customHeight="1" x14ac:dyDescent="0.25">
      <c r="A31" s="10">
        <f t="shared" si="2"/>
        <v>27</v>
      </c>
      <c r="B31" s="166">
        <v>38.51</v>
      </c>
      <c r="C31" s="166">
        <f t="shared" si="1"/>
        <v>0.28999999999999915</v>
      </c>
      <c r="D31" s="10"/>
      <c r="E31" s="531"/>
      <c r="F31" s="532"/>
      <c r="G31" s="166">
        <f t="shared" si="0"/>
        <v>48.670000000000009</v>
      </c>
      <c r="I31" s="86"/>
    </row>
    <row r="32" spans="1:12" ht="120" customHeight="1" x14ac:dyDescent="0.25">
      <c r="A32" s="10">
        <f t="shared" si="2"/>
        <v>28</v>
      </c>
      <c r="B32" s="194">
        <v>40.090000000000003</v>
      </c>
      <c r="C32" s="194">
        <f t="shared" si="1"/>
        <v>1.5800000000000054</v>
      </c>
      <c r="D32" s="10"/>
      <c r="E32" s="531"/>
      <c r="F32" s="532"/>
      <c r="G32" s="194">
        <f t="shared" si="0"/>
        <v>47.09</v>
      </c>
      <c r="I32" s="86"/>
    </row>
    <row r="33" spans="1:11" ht="120" customHeight="1" x14ac:dyDescent="0.35">
      <c r="A33" s="10">
        <f t="shared" si="2"/>
        <v>29</v>
      </c>
      <c r="B33" s="14">
        <v>59.96</v>
      </c>
      <c r="C33" s="194">
        <f t="shared" si="1"/>
        <v>19.869999999999997</v>
      </c>
      <c r="D33" s="10"/>
      <c r="E33" s="533" t="s">
        <v>302</v>
      </c>
      <c r="F33" s="534"/>
      <c r="G33" s="165">
        <f t="shared" si="0"/>
        <v>27.220000000000006</v>
      </c>
      <c r="I33" s="86"/>
      <c r="K33" s="86"/>
    </row>
    <row r="34" spans="1:11" ht="120" customHeight="1" x14ac:dyDescent="0.35">
      <c r="A34" s="10">
        <f t="shared" si="2"/>
        <v>30</v>
      </c>
      <c r="B34" s="14">
        <v>61.33</v>
      </c>
      <c r="C34" s="14">
        <f t="shared" si="1"/>
        <v>1.3699999999999974</v>
      </c>
      <c r="D34" s="10"/>
      <c r="E34" s="545" t="s">
        <v>278</v>
      </c>
      <c r="F34" s="545"/>
      <c r="G34" s="165">
        <f t="shared" si="0"/>
        <v>25.850000000000009</v>
      </c>
      <c r="I34" s="86"/>
      <c r="K34" s="86"/>
    </row>
    <row r="35" spans="1:11" ht="120" customHeight="1" x14ac:dyDescent="0.25">
      <c r="A35" s="10">
        <f t="shared" si="2"/>
        <v>31</v>
      </c>
      <c r="B35" s="166">
        <v>68.48</v>
      </c>
      <c r="C35" s="14">
        <f t="shared" si="1"/>
        <v>7.1500000000000057</v>
      </c>
      <c r="D35" s="211"/>
      <c r="E35" s="530"/>
      <c r="F35" s="530"/>
      <c r="G35" s="165">
        <f t="shared" si="0"/>
        <v>18.700000000000003</v>
      </c>
      <c r="I35" s="86"/>
      <c r="K35" s="86"/>
    </row>
    <row r="36" spans="1:11" ht="120" customHeight="1" x14ac:dyDescent="0.25">
      <c r="A36" s="10">
        <f t="shared" si="2"/>
        <v>32</v>
      </c>
      <c r="B36" s="166">
        <v>70.819999999999993</v>
      </c>
      <c r="C36" s="14">
        <f t="shared" si="1"/>
        <v>2.3399999999999892</v>
      </c>
      <c r="D36" s="404"/>
      <c r="E36" s="530"/>
      <c r="F36" s="530"/>
      <c r="G36" s="165">
        <f t="shared" si="0"/>
        <v>16.360000000000014</v>
      </c>
      <c r="I36" s="86"/>
      <c r="K36" s="86"/>
    </row>
    <row r="37" spans="1:11" ht="120" customHeight="1" x14ac:dyDescent="0.35">
      <c r="A37" s="10">
        <f t="shared" si="2"/>
        <v>33</v>
      </c>
      <c r="B37" s="166">
        <v>71.59</v>
      </c>
      <c r="C37" s="11">
        <f t="shared" si="1"/>
        <v>0.77000000000001023</v>
      </c>
      <c r="D37" s="404"/>
      <c r="E37" s="545" t="str">
        <f>ДС2&amp;" Старт"&amp;CHAR(10)&amp;"Норма времени "&amp;ДС2Время&amp;"''"</f>
        <v>ДС-2 РУ Старт
Норма времени 570''</v>
      </c>
      <c r="F37" s="545"/>
      <c r="G37" s="165">
        <f t="shared" si="0"/>
        <v>15.590000000000003</v>
      </c>
      <c r="I37" s="86"/>
      <c r="J37" s="15" t="s">
        <v>300</v>
      </c>
    </row>
    <row r="38" spans="1:11" ht="39.950000000000003" customHeight="1" x14ac:dyDescent="0.25">
      <c r="A38" s="10">
        <f t="shared" si="2"/>
        <v>34</v>
      </c>
      <c r="B38" s="166">
        <v>71.66</v>
      </c>
      <c r="C38" s="11">
        <f t="shared" si="1"/>
        <v>6.9999999999993179E-2</v>
      </c>
      <c r="D38" s="404"/>
      <c r="E38" s="530"/>
      <c r="F38" s="530"/>
      <c r="G38" s="165">
        <f t="shared" si="0"/>
        <v>15.52000000000001</v>
      </c>
      <c r="I38" s="86"/>
      <c r="J38" s="15" t="s">
        <v>301</v>
      </c>
    </row>
    <row r="39" spans="1:11" ht="39.950000000000003" customHeight="1" x14ac:dyDescent="0.25">
      <c r="A39" s="10">
        <f t="shared" si="2"/>
        <v>35</v>
      </c>
      <c r="B39" s="166">
        <v>72.05</v>
      </c>
      <c r="C39" s="11">
        <f t="shared" si="1"/>
        <v>0.39000000000000057</v>
      </c>
      <c r="D39" s="404"/>
      <c r="E39" s="530"/>
      <c r="F39" s="530"/>
      <c r="G39" s="165">
        <f t="shared" si="0"/>
        <v>15.13000000000001</v>
      </c>
      <c r="I39" s="86"/>
    </row>
    <row r="40" spans="1:11" ht="39.950000000000003" customHeight="1" x14ac:dyDescent="0.25">
      <c r="A40" s="10">
        <f t="shared" si="2"/>
        <v>36</v>
      </c>
      <c r="B40" s="166">
        <v>72.44</v>
      </c>
      <c r="C40" s="11">
        <f t="shared" si="1"/>
        <v>0.39000000000000057</v>
      </c>
      <c r="D40" s="404"/>
      <c r="E40" s="530"/>
      <c r="F40" s="530"/>
      <c r="G40" s="165">
        <f t="shared" si="0"/>
        <v>14.740000000000009</v>
      </c>
      <c r="I40" s="86"/>
    </row>
    <row r="41" spans="1:11" ht="39.950000000000003" customHeight="1" x14ac:dyDescent="0.25">
      <c r="A41" s="10">
        <f t="shared" si="2"/>
        <v>37</v>
      </c>
      <c r="B41" s="166">
        <v>73.73</v>
      </c>
      <c r="C41" s="11">
        <f t="shared" si="1"/>
        <v>1.2900000000000063</v>
      </c>
      <c r="D41" s="404"/>
      <c r="E41" s="530"/>
      <c r="F41" s="530"/>
      <c r="G41" s="165">
        <f t="shared" si="0"/>
        <v>13.450000000000003</v>
      </c>
      <c r="I41" s="86"/>
    </row>
    <row r="42" spans="1:11" ht="39.950000000000003" customHeight="1" x14ac:dyDescent="0.25">
      <c r="A42" s="10">
        <f t="shared" si="2"/>
        <v>38</v>
      </c>
      <c r="B42" s="166">
        <v>74.02</v>
      </c>
      <c r="C42" s="11">
        <f t="shared" si="1"/>
        <v>0.28999999999999204</v>
      </c>
      <c r="D42" s="404"/>
      <c r="E42" s="543" t="s">
        <v>288</v>
      </c>
      <c r="F42" s="544"/>
      <c r="G42" s="165">
        <f t="shared" si="0"/>
        <v>13.160000000000011</v>
      </c>
      <c r="I42" s="86"/>
    </row>
    <row r="43" spans="1:11" ht="39.950000000000003" customHeight="1" x14ac:dyDescent="0.25">
      <c r="A43" s="10">
        <f t="shared" si="2"/>
        <v>39</v>
      </c>
      <c r="B43" s="166">
        <v>74.150000000000006</v>
      </c>
      <c r="C43" s="11">
        <f t="shared" si="1"/>
        <v>0.13000000000000966</v>
      </c>
      <c r="D43" s="404"/>
      <c r="E43" s="530"/>
      <c r="F43" s="530"/>
      <c r="G43" s="165">
        <f t="shared" si="0"/>
        <v>13.030000000000001</v>
      </c>
      <c r="I43" s="86"/>
    </row>
    <row r="44" spans="1:11" ht="39.950000000000003" customHeight="1" x14ac:dyDescent="0.25">
      <c r="A44" s="10">
        <f t="shared" si="2"/>
        <v>40</v>
      </c>
      <c r="B44" s="166">
        <v>74.28</v>
      </c>
      <c r="C44" s="11">
        <f t="shared" si="1"/>
        <v>0.12999999999999545</v>
      </c>
      <c r="D44" s="404"/>
      <c r="E44" s="530"/>
      <c r="F44" s="530"/>
      <c r="G44" s="165">
        <f t="shared" si="0"/>
        <v>12.900000000000006</v>
      </c>
      <c r="I44" s="86"/>
    </row>
    <row r="45" spans="1:11" ht="39.950000000000003" customHeight="1" x14ac:dyDescent="0.25">
      <c r="A45" s="10">
        <f t="shared" si="2"/>
        <v>41</v>
      </c>
      <c r="B45" s="166">
        <v>74.84</v>
      </c>
      <c r="C45" s="11">
        <f t="shared" si="1"/>
        <v>0.56000000000000227</v>
      </c>
      <c r="D45" s="404"/>
      <c r="E45" s="530"/>
      <c r="F45" s="530"/>
      <c r="G45" s="165">
        <f t="shared" si="0"/>
        <v>12.340000000000003</v>
      </c>
      <c r="I45" s="86"/>
    </row>
    <row r="46" spans="1:11" ht="39.950000000000003" customHeight="1" x14ac:dyDescent="0.25">
      <c r="A46" s="10">
        <f t="shared" si="2"/>
        <v>42</v>
      </c>
      <c r="B46" s="166">
        <v>75.010000000000005</v>
      </c>
      <c r="C46" s="11">
        <f t="shared" si="1"/>
        <v>0.17000000000000171</v>
      </c>
      <c r="D46" s="404"/>
      <c r="E46" s="530"/>
      <c r="F46" s="530"/>
      <c r="G46" s="165">
        <f t="shared" si="0"/>
        <v>12.170000000000002</v>
      </c>
      <c r="I46" s="86"/>
    </row>
    <row r="47" spans="1:11" ht="39.950000000000003" customHeight="1" x14ac:dyDescent="0.25">
      <c r="A47" s="10">
        <f t="shared" si="2"/>
        <v>43</v>
      </c>
      <c r="B47" s="166">
        <v>75.39</v>
      </c>
      <c r="C47" s="11">
        <f t="shared" si="1"/>
        <v>0.37999999999999545</v>
      </c>
      <c r="D47" s="404"/>
      <c r="E47" s="546" t="s">
        <v>422</v>
      </c>
      <c r="F47" s="546"/>
      <c r="G47" s="165">
        <f t="shared" si="0"/>
        <v>11.790000000000006</v>
      </c>
      <c r="I47" s="86"/>
    </row>
    <row r="48" spans="1:11" ht="39.950000000000003" customHeight="1" x14ac:dyDescent="0.25">
      <c r="A48" s="10">
        <f t="shared" si="2"/>
        <v>44</v>
      </c>
      <c r="B48" s="166">
        <v>76.37</v>
      </c>
      <c r="C48" s="11">
        <f t="shared" si="1"/>
        <v>0.98000000000000398</v>
      </c>
      <c r="D48" s="404"/>
      <c r="E48" s="549" t="s">
        <v>288</v>
      </c>
      <c r="F48" s="549"/>
      <c r="G48" s="165">
        <f t="shared" si="0"/>
        <v>10.810000000000002</v>
      </c>
      <c r="I48" s="86"/>
    </row>
    <row r="49" spans="1:10" ht="39.950000000000003" customHeight="1" x14ac:dyDescent="0.25">
      <c r="A49" s="10">
        <f t="shared" si="2"/>
        <v>45</v>
      </c>
      <c r="B49" s="166">
        <v>76.77</v>
      </c>
      <c r="C49" s="11">
        <f t="shared" si="1"/>
        <v>0.39999999999999147</v>
      </c>
      <c r="D49" s="404"/>
      <c r="E49" s="530"/>
      <c r="F49" s="530"/>
      <c r="G49" s="165">
        <f t="shared" si="0"/>
        <v>10.410000000000011</v>
      </c>
      <c r="I49" s="86"/>
    </row>
    <row r="50" spans="1:10" ht="39.950000000000003" customHeight="1" x14ac:dyDescent="0.25">
      <c r="A50" s="10">
        <f t="shared" si="2"/>
        <v>46</v>
      </c>
      <c r="B50" s="166">
        <v>77.31</v>
      </c>
      <c r="C50" s="11">
        <f t="shared" si="1"/>
        <v>0.54000000000000625</v>
      </c>
      <c r="D50" s="404"/>
      <c r="E50" s="543" t="s">
        <v>288</v>
      </c>
      <c r="F50" s="544"/>
      <c r="G50" s="165">
        <f t="shared" si="0"/>
        <v>9.8700000000000045</v>
      </c>
      <c r="I50" s="86"/>
    </row>
    <row r="51" spans="1:10" ht="39.950000000000003" customHeight="1" x14ac:dyDescent="0.25">
      <c r="A51" s="10">
        <f t="shared" si="2"/>
        <v>47</v>
      </c>
      <c r="B51" s="166">
        <v>77.489999999999995</v>
      </c>
      <c r="C51" s="11">
        <f t="shared" si="1"/>
        <v>0.17999999999999261</v>
      </c>
      <c r="D51" s="404"/>
      <c r="E51" s="543"/>
      <c r="F51" s="544"/>
      <c r="G51" s="165">
        <f t="shared" si="0"/>
        <v>9.6900000000000119</v>
      </c>
      <c r="I51" s="86"/>
    </row>
    <row r="52" spans="1:10" ht="39.950000000000003" customHeight="1" x14ac:dyDescent="0.25">
      <c r="A52" s="10">
        <f t="shared" si="2"/>
        <v>48</v>
      </c>
      <c r="B52" s="166">
        <v>78.08</v>
      </c>
      <c r="C52" s="11">
        <f t="shared" si="1"/>
        <v>0.59000000000000341</v>
      </c>
      <c r="D52" s="404"/>
      <c r="E52" s="530"/>
      <c r="F52" s="530"/>
      <c r="G52" s="165">
        <f t="shared" si="0"/>
        <v>9.1000000000000085</v>
      </c>
      <c r="I52" s="86"/>
    </row>
    <row r="53" spans="1:10" ht="39.950000000000003" customHeight="1" x14ac:dyDescent="0.25">
      <c r="A53" s="10">
        <f t="shared" si="2"/>
        <v>49</v>
      </c>
      <c r="B53" s="166">
        <v>78.66</v>
      </c>
      <c r="C53" s="11">
        <f t="shared" si="1"/>
        <v>0.57999999999999829</v>
      </c>
      <c r="D53" s="404"/>
      <c r="E53" s="530"/>
      <c r="F53" s="530"/>
      <c r="G53" s="165">
        <f t="shared" si="0"/>
        <v>8.5200000000000102</v>
      </c>
      <c r="I53" s="86"/>
    </row>
    <row r="54" spans="1:10" ht="39.950000000000003" customHeight="1" x14ac:dyDescent="0.25">
      <c r="A54" s="10">
        <f t="shared" si="2"/>
        <v>50</v>
      </c>
      <c r="B54" s="166">
        <v>79.05</v>
      </c>
      <c r="C54" s="11">
        <f t="shared" si="1"/>
        <v>0.39000000000000057</v>
      </c>
      <c r="D54" s="404"/>
      <c r="E54" s="530"/>
      <c r="F54" s="530"/>
      <c r="G54" s="165">
        <f t="shared" si="0"/>
        <v>8.1300000000000097</v>
      </c>
      <c r="I54" s="86"/>
    </row>
    <row r="55" spans="1:10" ht="39.950000000000003" customHeight="1" x14ac:dyDescent="0.25">
      <c r="A55" s="10">
        <f t="shared" si="2"/>
        <v>51</v>
      </c>
      <c r="B55" s="166">
        <v>79.56</v>
      </c>
      <c r="C55" s="11">
        <f t="shared" si="1"/>
        <v>0.51000000000000512</v>
      </c>
      <c r="D55" s="404"/>
      <c r="E55" s="530"/>
      <c r="F55" s="530"/>
      <c r="G55" s="165">
        <f t="shared" si="0"/>
        <v>7.6200000000000045</v>
      </c>
      <c r="I55" s="86"/>
    </row>
    <row r="56" spans="1:10" ht="39.950000000000003" customHeight="1" x14ac:dyDescent="0.25">
      <c r="A56" s="10">
        <f t="shared" si="2"/>
        <v>52</v>
      </c>
      <c r="B56" s="166">
        <v>79.97</v>
      </c>
      <c r="C56" s="11">
        <f t="shared" si="1"/>
        <v>0.40999999999999659</v>
      </c>
      <c r="D56" s="404"/>
      <c r="E56" s="530"/>
      <c r="F56" s="530"/>
      <c r="G56" s="165">
        <f t="shared" si="0"/>
        <v>7.210000000000008</v>
      </c>
      <c r="I56" s="86"/>
    </row>
    <row r="57" spans="1:10" ht="39.950000000000003" customHeight="1" x14ac:dyDescent="0.25">
      <c r="A57" s="10">
        <f t="shared" si="2"/>
        <v>53</v>
      </c>
      <c r="B57" s="166">
        <v>80.22</v>
      </c>
      <c r="C57" s="11">
        <f t="shared" si="1"/>
        <v>0.25</v>
      </c>
      <c r="D57" s="404"/>
      <c r="E57" s="530"/>
      <c r="F57" s="530"/>
      <c r="G57" s="165">
        <f t="shared" si="0"/>
        <v>6.960000000000008</v>
      </c>
      <c r="I57" s="86"/>
    </row>
    <row r="58" spans="1:10" ht="39.950000000000003" customHeight="1" x14ac:dyDescent="0.25">
      <c r="A58" s="10">
        <f t="shared" si="2"/>
        <v>54</v>
      </c>
      <c r="B58" s="166">
        <v>80.55</v>
      </c>
      <c r="C58" s="11">
        <f t="shared" si="1"/>
        <v>0.32999999999999829</v>
      </c>
      <c r="D58" s="404"/>
      <c r="E58" s="530"/>
      <c r="F58" s="530"/>
      <c r="G58" s="165">
        <f t="shared" si="0"/>
        <v>6.6300000000000097</v>
      </c>
      <c r="I58" s="86"/>
    </row>
    <row r="59" spans="1:10" ht="120" customHeight="1" x14ac:dyDescent="0.35">
      <c r="A59" s="10">
        <f t="shared" si="2"/>
        <v>55</v>
      </c>
      <c r="B59" s="14">
        <v>80.650000000000006</v>
      </c>
      <c r="C59" s="11">
        <f t="shared" si="1"/>
        <v>0.10000000000000853</v>
      </c>
      <c r="D59" s="404"/>
      <c r="E59" s="545" t="str">
        <f>ДС2&amp;" Финиш !!!БЕСКОНТАКТНЫЙ!!!"</f>
        <v>ДС-2 РУ Финиш !!!БЕСКОНТАКТНЫЙ!!!</v>
      </c>
      <c r="F59" s="545"/>
      <c r="G59" s="165">
        <f t="shared" si="0"/>
        <v>6.5300000000000011</v>
      </c>
      <c r="I59" s="15" t="s">
        <v>297</v>
      </c>
      <c r="J59" s="86" t="s">
        <v>298</v>
      </c>
    </row>
    <row r="60" spans="1:10" ht="120" customHeight="1" x14ac:dyDescent="0.25">
      <c r="A60" s="10">
        <f t="shared" si="2"/>
        <v>56</v>
      </c>
      <c r="B60" s="166">
        <v>83.05</v>
      </c>
      <c r="C60" s="166">
        <f t="shared" si="1"/>
        <v>2.3999999999999915</v>
      </c>
      <c r="D60" s="10"/>
      <c r="E60" s="548"/>
      <c r="F60" s="548"/>
      <c r="G60" s="165">
        <f t="shared" si="0"/>
        <v>4.1300000000000097</v>
      </c>
      <c r="I60" s="86"/>
      <c r="J60" s="86" t="s">
        <v>299</v>
      </c>
    </row>
    <row r="61" spans="1:10" ht="120" customHeight="1" x14ac:dyDescent="0.25">
      <c r="A61" s="10">
        <f t="shared" si="2"/>
        <v>57</v>
      </c>
      <c r="B61" s="166">
        <v>84.38</v>
      </c>
      <c r="C61" s="166">
        <f t="shared" si="1"/>
        <v>1.3299999999999983</v>
      </c>
      <c r="D61" s="10"/>
      <c r="E61" s="547"/>
      <c r="F61" s="547"/>
      <c r="G61" s="165">
        <f t="shared" si="0"/>
        <v>2.8000000000000114</v>
      </c>
      <c r="I61" s="86"/>
    </row>
    <row r="62" spans="1:10" ht="120" customHeight="1" x14ac:dyDescent="0.25">
      <c r="A62" s="10">
        <f t="shared" si="2"/>
        <v>58</v>
      </c>
      <c r="B62" s="194">
        <v>85.5</v>
      </c>
      <c r="C62" s="194">
        <f t="shared" si="1"/>
        <v>1.1200000000000045</v>
      </c>
      <c r="D62" s="10"/>
      <c r="E62" s="530"/>
      <c r="F62" s="530"/>
      <c r="G62" s="194">
        <f t="shared" si="0"/>
        <v>1.6800000000000068</v>
      </c>
      <c r="I62" s="86"/>
    </row>
    <row r="63" spans="1:10" ht="120" customHeight="1" x14ac:dyDescent="0.25">
      <c r="A63" s="10">
        <f t="shared" si="2"/>
        <v>59</v>
      </c>
      <c r="B63" s="194">
        <v>85.74</v>
      </c>
      <c r="C63" s="166">
        <f t="shared" si="1"/>
        <v>0.23999999999999488</v>
      </c>
      <c r="D63" s="10"/>
      <c r="E63" s="530"/>
      <c r="F63" s="547"/>
      <c r="G63" s="194">
        <f t="shared" si="0"/>
        <v>1.4400000000000119</v>
      </c>
      <c r="I63" s="86"/>
    </row>
    <row r="64" spans="1:10" ht="120" customHeight="1" x14ac:dyDescent="0.35">
      <c r="A64" s="10">
        <f t="shared" si="2"/>
        <v>60</v>
      </c>
      <c r="B64" s="166">
        <v>87.18</v>
      </c>
      <c r="C64" s="166">
        <f t="shared" si="1"/>
        <v>1.4400000000000119</v>
      </c>
      <c r="D64" s="404"/>
      <c r="E64" s="545" t="str">
        <f>КВ1</f>
        <v>КВ-1 Борщевик</v>
      </c>
      <c r="F64" s="545"/>
      <c r="G64" s="165">
        <f t="shared" si="0"/>
        <v>0</v>
      </c>
      <c r="I64" s="86"/>
      <c r="J64" s="15" t="s">
        <v>305</v>
      </c>
    </row>
  </sheetData>
  <mergeCells count="64">
    <mergeCell ref="E61:F61"/>
    <mergeCell ref="E62:F62"/>
    <mergeCell ref="E63:F63"/>
    <mergeCell ref="E64:F64"/>
    <mergeCell ref="E55:F55"/>
    <mergeCell ref="E56:F56"/>
    <mergeCell ref="E57:F57"/>
    <mergeCell ref="E58:F58"/>
    <mergeCell ref="E59:F59"/>
    <mergeCell ref="E60:F60"/>
    <mergeCell ref="E54:F54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42:F42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30:F30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18:F18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6:F6"/>
    <mergeCell ref="D1:E1"/>
    <mergeCell ref="D2:E2"/>
    <mergeCell ref="D3:E3"/>
    <mergeCell ref="E4:F4"/>
    <mergeCell ref="D5:F5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I43"/>
  <sheetViews>
    <sheetView view="pageBreakPreview" zoomScale="85" zoomScaleNormal="70" zoomScaleSheetLayoutView="85" zoomScalePageLayoutView="40" workbookViewId="0">
      <selection activeCell="C10" sqref="C10"/>
    </sheetView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9" width="9.140625" style="15"/>
    <col min="10" max="10" width="8" style="15" customWidth="1"/>
    <col min="11" max="16384" width="9.140625" style="15"/>
  </cols>
  <sheetData>
    <row r="1" spans="1:9" ht="17.45" customHeight="1" x14ac:dyDescent="0.25">
      <c r="A1" s="2"/>
      <c r="B1" s="3"/>
      <c r="C1" s="4"/>
      <c r="D1" s="458" t="str">
        <f>НазваниеКраткое</f>
        <v>Западные ворота - 2017</v>
      </c>
      <c r="E1" s="459"/>
      <c r="F1" s="167" t="s">
        <v>8</v>
      </c>
      <c r="G1" s="168">
        <f>КВ2Расстояние</f>
        <v>136.75</v>
      </c>
    </row>
    <row r="2" spans="1:9" ht="17.45" customHeight="1" x14ac:dyDescent="0.25">
      <c r="A2" s="5"/>
      <c r="B2" s="6"/>
      <c r="C2" s="7"/>
      <c r="D2" s="458" t="str">
        <f>КВ1</f>
        <v>КВ-1 Борщевик</v>
      </c>
      <c r="E2" s="459"/>
      <c r="F2" s="167" t="s">
        <v>10</v>
      </c>
      <c r="G2" s="410">
        <f>КВ2Время</f>
        <v>140</v>
      </c>
    </row>
    <row r="3" spans="1:9" ht="17.45" customHeight="1" x14ac:dyDescent="0.25">
      <c r="A3" s="5"/>
      <c r="B3" s="6"/>
      <c r="C3" s="7"/>
      <c r="D3" s="458" t="str">
        <f>КВ2</f>
        <v>КВ-2 ПКАД</v>
      </c>
      <c r="E3" s="459"/>
      <c r="F3" s="167" t="s">
        <v>9</v>
      </c>
      <c r="G3" s="168">
        <f>КВ2Скорость</f>
        <v>58.61</v>
      </c>
    </row>
    <row r="4" spans="1:9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9" ht="120" customHeight="1" x14ac:dyDescent="0.35">
      <c r="A5" s="10">
        <v>1</v>
      </c>
      <c r="B5" s="14">
        <v>0</v>
      </c>
      <c r="C5" s="11">
        <v>0</v>
      </c>
      <c r="D5" s="404"/>
      <c r="E5" s="545" t="str">
        <f>КВ1</f>
        <v>КВ-1 Борщевик</v>
      </c>
      <c r="F5" s="545"/>
      <c r="G5" s="11">
        <f t="shared" ref="G5:G43" si="0">КВ2Расстояние-B5</f>
        <v>136.75</v>
      </c>
    </row>
    <row r="6" spans="1:9" ht="120" customHeight="1" x14ac:dyDescent="0.25">
      <c r="A6" s="10">
        <f t="shared" ref="A6:A43" si="1">1+A5</f>
        <v>2</v>
      </c>
      <c r="B6" s="14">
        <v>7.0000000000000007E-2</v>
      </c>
      <c r="C6" s="166">
        <f t="shared" ref="C6:C43" si="2">B6-B5</f>
        <v>7.0000000000000007E-2</v>
      </c>
      <c r="D6" s="10"/>
      <c r="E6" s="535"/>
      <c r="F6" s="535"/>
      <c r="G6" s="11">
        <f t="shared" si="0"/>
        <v>136.68</v>
      </c>
      <c r="I6" s="15" t="s">
        <v>310</v>
      </c>
    </row>
    <row r="7" spans="1:9" ht="120" customHeight="1" x14ac:dyDescent="0.25">
      <c r="A7" s="10">
        <f t="shared" si="1"/>
        <v>3</v>
      </c>
      <c r="B7" s="194">
        <v>10.63</v>
      </c>
      <c r="C7" s="194">
        <f t="shared" si="2"/>
        <v>10.56</v>
      </c>
      <c r="D7" s="10"/>
      <c r="E7" s="530"/>
      <c r="F7" s="530"/>
      <c r="G7" s="194">
        <f t="shared" si="0"/>
        <v>126.12</v>
      </c>
    </row>
    <row r="8" spans="1:9" ht="120" customHeight="1" x14ac:dyDescent="0.25">
      <c r="A8" s="10">
        <f t="shared" si="1"/>
        <v>4</v>
      </c>
      <c r="B8" s="194">
        <v>11.25</v>
      </c>
      <c r="C8" s="166">
        <f t="shared" si="2"/>
        <v>0.61999999999999922</v>
      </c>
      <c r="D8" s="10"/>
      <c r="E8" s="530"/>
      <c r="F8" s="530"/>
      <c r="G8" s="194">
        <f t="shared" si="0"/>
        <v>125.5</v>
      </c>
    </row>
    <row r="9" spans="1:9" ht="120" customHeight="1" x14ac:dyDescent="0.25">
      <c r="A9" s="10">
        <f t="shared" si="1"/>
        <v>5</v>
      </c>
      <c r="B9" s="194">
        <v>19.7</v>
      </c>
      <c r="C9" s="166">
        <f t="shared" si="2"/>
        <v>8.4499999999999993</v>
      </c>
      <c r="D9" s="10"/>
      <c r="E9" s="530"/>
      <c r="F9" s="530"/>
      <c r="G9" s="194">
        <f t="shared" si="0"/>
        <v>117.05</v>
      </c>
    </row>
    <row r="10" spans="1:9" ht="120" customHeight="1" x14ac:dyDescent="0.25">
      <c r="A10" s="10">
        <f t="shared" si="1"/>
        <v>6</v>
      </c>
      <c r="B10" s="194">
        <v>31.58</v>
      </c>
      <c r="C10" s="166">
        <f t="shared" si="2"/>
        <v>11.879999999999999</v>
      </c>
      <c r="D10" s="404"/>
      <c r="E10" s="530"/>
      <c r="F10" s="530"/>
      <c r="G10" s="194">
        <f t="shared" si="0"/>
        <v>105.17</v>
      </c>
    </row>
    <row r="11" spans="1:9" ht="120" customHeight="1" x14ac:dyDescent="0.35">
      <c r="A11" s="10">
        <f t="shared" si="1"/>
        <v>7</v>
      </c>
      <c r="B11" s="14">
        <v>32.06</v>
      </c>
      <c r="C11" s="194">
        <f t="shared" si="2"/>
        <v>0.48000000000000398</v>
      </c>
      <c r="D11" s="404"/>
      <c r="E11" s="545" t="str">
        <f>ДС3&amp;" Старт"&amp;CHAR(10)&amp;"Норма времени "&amp;ДС3Время&amp;"''"</f>
        <v>ДС-3 РУ Старт
Норма времени 670''</v>
      </c>
      <c r="F11" s="545"/>
      <c r="G11" s="11">
        <f t="shared" si="0"/>
        <v>104.69</v>
      </c>
    </row>
    <row r="12" spans="1:9" ht="39.950000000000003" customHeight="1" x14ac:dyDescent="0.25">
      <c r="A12" s="10">
        <f t="shared" si="1"/>
        <v>8</v>
      </c>
      <c r="B12" s="14">
        <v>36.51</v>
      </c>
      <c r="C12" s="14">
        <f t="shared" si="2"/>
        <v>4.4499999999999957</v>
      </c>
      <c r="D12" s="404"/>
      <c r="E12" s="530"/>
      <c r="F12" s="530"/>
      <c r="G12" s="11">
        <f t="shared" si="0"/>
        <v>100.24000000000001</v>
      </c>
    </row>
    <row r="13" spans="1:9" ht="39.950000000000003" customHeight="1" x14ac:dyDescent="0.25">
      <c r="A13" s="10">
        <f t="shared" si="1"/>
        <v>9</v>
      </c>
      <c r="B13" s="14">
        <v>38.18</v>
      </c>
      <c r="C13" s="14">
        <f t="shared" si="2"/>
        <v>1.6700000000000017</v>
      </c>
      <c r="D13" s="404"/>
      <c r="E13" s="546" t="s">
        <v>422</v>
      </c>
      <c r="F13" s="546"/>
      <c r="G13" s="11">
        <f t="shared" si="0"/>
        <v>98.57</v>
      </c>
    </row>
    <row r="14" spans="1:9" ht="39.950000000000003" customHeight="1" x14ac:dyDescent="0.25">
      <c r="A14" s="10">
        <f t="shared" si="1"/>
        <v>10</v>
      </c>
      <c r="B14" s="14">
        <v>38.61</v>
      </c>
      <c r="C14" s="14">
        <f t="shared" si="2"/>
        <v>0.42999999999999972</v>
      </c>
      <c r="D14" s="404"/>
      <c r="E14" s="546" t="s">
        <v>426</v>
      </c>
      <c r="F14" s="546"/>
      <c r="G14" s="11">
        <f t="shared" si="0"/>
        <v>98.14</v>
      </c>
    </row>
    <row r="15" spans="1:9" ht="39.950000000000003" customHeight="1" x14ac:dyDescent="0.25">
      <c r="A15" s="10">
        <f t="shared" si="1"/>
        <v>11</v>
      </c>
      <c r="B15" s="14">
        <v>39.159999999999997</v>
      </c>
      <c r="C15" s="14">
        <f t="shared" si="2"/>
        <v>0.54999999999999716</v>
      </c>
      <c r="D15" s="404"/>
      <c r="E15" s="530"/>
      <c r="F15" s="530"/>
      <c r="G15" s="11">
        <f t="shared" si="0"/>
        <v>97.59</v>
      </c>
    </row>
    <row r="16" spans="1:9" ht="39.950000000000003" customHeight="1" x14ac:dyDescent="0.25">
      <c r="A16" s="10">
        <f t="shared" si="1"/>
        <v>12</v>
      </c>
      <c r="B16" s="14">
        <v>39.83</v>
      </c>
      <c r="C16" s="14">
        <f t="shared" si="2"/>
        <v>0.67000000000000171</v>
      </c>
      <c r="D16" s="404"/>
      <c r="E16" s="546" t="s">
        <v>423</v>
      </c>
      <c r="F16" s="546"/>
      <c r="G16" s="11">
        <f t="shared" si="0"/>
        <v>96.92</v>
      </c>
    </row>
    <row r="17" spans="1:9" ht="39.950000000000003" customHeight="1" x14ac:dyDescent="0.25">
      <c r="A17" s="10">
        <f t="shared" si="1"/>
        <v>13</v>
      </c>
      <c r="B17" s="14">
        <v>40.78</v>
      </c>
      <c r="C17" s="14">
        <f t="shared" si="2"/>
        <v>0.95000000000000284</v>
      </c>
      <c r="D17" s="404"/>
      <c r="E17" s="546" t="s">
        <v>422</v>
      </c>
      <c r="F17" s="546"/>
      <c r="G17" s="11">
        <f t="shared" si="0"/>
        <v>95.97</v>
      </c>
    </row>
    <row r="18" spans="1:9" ht="39.950000000000003" customHeight="1" x14ac:dyDescent="0.25">
      <c r="A18" s="10">
        <f t="shared" si="1"/>
        <v>14</v>
      </c>
      <c r="B18" s="14">
        <v>41.61</v>
      </c>
      <c r="C18" s="14">
        <f t="shared" si="2"/>
        <v>0.82999999999999829</v>
      </c>
      <c r="D18" s="404"/>
      <c r="E18" s="546" t="s">
        <v>422</v>
      </c>
      <c r="F18" s="546"/>
      <c r="G18" s="11">
        <f t="shared" si="0"/>
        <v>95.14</v>
      </c>
    </row>
    <row r="19" spans="1:9" ht="39.950000000000003" customHeight="1" x14ac:dyDescent="0.25">
      <c r="A19" s="10">
        <f t="shared" si="1"/>
        <v>15</v>
      </c>
      <c r="B19" s="14">
        <v>43.22</v>
      </c>
      <c r="C19" s="14">
        <f t="shared" si="2"/>
        <v>1.6099999999999994</v>
      </c>
      <c r="D19" s="404"/>
      <c r="E19" s="546" t="s">
        <v>424</v>
      </c>
      <c r="F19" s="546"/>
      <c r="G19" s="11">
        <f t="shared" si="0"/>
        <v>93.53</v>
      </c>
    </row>
    <row r="20" spans="1:9" ht="120" customHeight="1" x14ac:dyDescent="0.35">
      <c r="A20" s="10">
        <f t="shared" si="1"/>
        <v>16</v>
      </c>
      <c r="B20" s="14">
        <v>43.44</v>
      </c>
      <c r="C20" s="14">
        <f t="shared" si="2"/>
        <v>0.21999999999999886</v>
      </c>
      <c r="D20" s="404"/>
      <c r="E20" s="545" t="str">
        <f>ДС3&amp;" Финиш !!!БЕСКОНТАКТНЫЙ!!!"</f>
        <v>ДС-3 РУ Финиш !!!БЕСКОНТАКТНЫЙ!!!</v>
      </c>
      <c r="F20" s="545"/>
      <c r="G20" s="11">
        <f t="shared" si="0"/>
        <v>93.31</v>
      </c>
    </row>
    <row r="21" spans="1:9" ht="120" customHeight="1" x14ac:dyDescent="0.25">
      <c r="A21" s="10">
        <f t="shared" si="1"/>
        <v>17</v>
      </c>
      <c r="B21" s="14">
        <v>46.58</v>
      </c>
      <c r="C21" s="14">
        <f t="shared" si="2"/>
        <v>3.1400000000000006</v>
      </c>
      <c r="D21" s="404"/>
      <c r="E21" s="530"/>
      <c r="F21" s="530"/>
      <c r="G21" s="11">
        <f t="shared" si="0"/>
        <v>90.17</v>
      </c>
    </row>
    <row r="22" spans="1:9" ht="120" customHeight="1" x14ac:dyDescent="0.25">
      <c r="A22" s="10">
        <f t="shared" si="1"/>
        <v>18</v>
      </c>
      <c r="B22" s="14">
        <v>62.55</v>
      </c>
      <c r="C22" s="11">
        <f t="shared" si="2"/>
        <v>15.969999999999999</v>
      </c>
      <c r="D22" s="404"/>
      <c r="E22" s="530"/>
      <c r="F22" s="530"/>
      <c r="G22" s="11">
        <f t="shared" si="0"/>
        <v>74.2</v>
      </c>
    </row>
    <row r="23" spans="1:9" ht="120" customHeight="1" x14ac:dyDescent="0.3">
      <c r="A23" s="10">
        <f t="shared" si="1"/>
        <v>19</v>
      </c>
      <c r="B23" s="14">
        <v>89.23</v>
      </c>
      <c r="C23" s="11">
        <f t="shared" si="2"/>
        <v>26.680000000000007</v>
      </c>
      <c r="D23" s="404"/>
      <c r="E23" s="551" t="str">
        <f>ДС4&amp;" Старт"&amp;CHAR(10)&amp;"Vср=ПДД, но не &gt;25 км/ч"</f>
        <v>ДС-4 РД Старт
Vср=ПДД, но не &gt;25 км/ч</v>
      </c>
      <c r="F23" s="552"/>
      <c r="G23" s="11">
        <f t="shared" si="0"/>
        <v>47.519999999999996</v>
      </c>
    </row>
    <row r="24" spans="1:9" ht="120" customHeight="1" x14ac:dyDescent="0.25">
      <c r="A24" s="10">
        <f t="shared" si="1"/>
        <v>20</v>
      </c>
      <c r="B24" s="14">
        <v>89.9</v>
      </c>
      <c r="C24" s="11">
        <f t="shared" si="2"/>
        <v>0.67000000000000171</v>
      </c>
      <c r="D24" s="404"/>
      <c r="E24" s="530"/>
      <c r="F24" s="530"/>
      <c r="G24" s="11">
        <f t="shared" si="0"/>
        <v>46.849999999999994</v>
      </c>
    </row>
    <row r="25" spans="1:9" ht="120" customHeight="1" x14ac:dyDescent="0.25">
      <c r="A25" s="10">
        <f t="shared" si="1"/>
        <v>21</v>
      </c>
      <c r="B25" s="14">
        <v>90.29</v>
      </c>
      <c r="C25" s="11">
        <f t="shared" si="2"/>
        <v>0.39000000000000057</v>
      </c>
      <c r="D25" s="404"/>
      <c r="E25" s="530"/>
      <c r="F25" s="530"/>
      <c r="G25" s="11">
        <f t="shared" si="0"/>
        <v>46.459999999999994</v>
      </c>
    </row>
    <row r="26" spans="1:9" ht="120" customHeight="1" x14ac:dyDescent="0.25">
      <c r="A26" s="10">
        <f t="shared" si="1"/>
        <v>22</v>
      </c>
      <c r="B26" s="14">
        <v>91.97</v>
      </c>
      <c r="C26" s="11">
        <f t="shared" si="2"/>
        <v>1.6799999999999926</v>
      </c>
      <c r="D26" s="10"/>
      <c r="E26" s="530" t="s">
        <v>284</v>
      </c>
      <c r="F26" s="530"/>
      <c r="G26" s="11">
        <f t="shared" si="0"/>
        <v>44.78</v>
      </c>
      <c r="I26" s="86"/>
    </row>
    <row r="27" spans="1:9" ht="120" customHeight="1" x14ac:dyDescent="0.25">
      <c r="A27" s="10">
        <f t="shared" si="1"/>
        <v>23</v>
      </c>
      <c r="B27" s="194">
        <v>92.39</v>
      </c>
      <c r="C27" s="204">
        <f t="shared" si="2"/>
        <v>0.42000000000000171</v>
      </c>
      <c r="D27" s="10"/>
      <c r="E27" s="530"/>
      <c r="F27" s="530"/>
      <c r="G27" s="204">
        <f t="shared" si="0"/>
        <v>44.36</v>
      </c>
      <c r="I27" s="86"/>
    </row>
    <row r="28" spans="1:9" ht="120" customHeight="1" x14ac:dyDescent="0.25">
      <c r="A28" s="10">
        <f t="shared" si="1"/>
        <v>24</v>
      </c>
      <c r="B28" s="194">
        <v>92.85</v>
      </c>
      <c r="C28" s="204">
        <f t="shared" si="2"/>
        <v>0.45999999999999375</v>
      </c>
      <c r="D28" s="10"/>
      <c r="E28" s="530"/>
      <c r="F28" s="530"/>
      <c r="G28" s="204">
        <f t="shared" si="0"/>
        <v>43.900000000000006</v>
      </c>
      <c r="I28" s="86"/>
    </row>
    <row r="29" spans="1:9" ht="120" customHeight="1" x14ac:dyDescent="0.25">
      <c r="A29" s="10">
        <f t="shared" si="1"/>
        <v>25</v>
      </c>
      <c r="B29" s="194">
        <v>92.88</v>
      </c>
      <c r="C29" s="166">
        <f t="shared" si="2"/>
        <v>3.0000000000001137E-2</v>
      </c>
      <c r="D29" s="10"/>
      <c r="E29" s="530"/>
      <c r="F29" s="530"/>
      <c r="G29" s="194">
        <f t="shared" si="0"/>
        <v>43.870000000000005</v>
      </c>
      <c r="I29" s="86"/>
    </row>
    <row r="30" spans="1:9" ht="120" customHeight="1" x14ac:dyDescent="0.25">
      <c r="A30" s="10">
        <f t="shared" si="1"/>
        <v>26</v>
      </c>
      <c r="B30" s="194">
        <v>93.01</v>
      </c>
      <c r="C30" s="166">
        <f t="shared" si="2"/>
        <v>0.13000000000000966</v>
      </c>
      <c r="D30" s="10"/>
      <c r="E30" s="530"/>
      <c r="F30" s="530"/>
      <c r="G30" s="194">
        <f t="shared" si="0"/>
        <v>43.739999999999995</v>
      </c>
      <c r="I30" s="86"/>
    </row>
    <row r="31" spans="1:9" ht="120" customHeight="1" x14ac:dyDescent="0.25">
      <c r="A31" s="10">
        <f t="shared" si="1"/>
        <v>27</v>
      </c>
      <c r="B31" s="194">
        <v>93.39</v>
      </c>
      <c r="C31" s="166">
        <f t="shared" si="2"/>
        <v>0.37999999999999545</v>
      </c>
      <c r="D31" s="171"/>
      <c r="E31" s="530"/>
      <c r="F31" s="530"/>
      <c r="G31" s="194">
        <f t="shared" si="0"/>
        <v>43.36</v>
      </c>
      <c r="I31" s="86"/>
    </row>
    <row r="32" spans="1:9" ht="120" customHeight="1" x14ac:dyDescent="0.25">
      <c r="A32" s="10">
        <f t="shared" si="1"/>
        <v>28</v>
      </c>
      <c r="B32" s="14">
        <v>93.5</v>
      </c>
      <c r="C32" s="194">
        <f t="shared" si="2"/>
        <v>0.10999999999999943</v>
      </c>
      <c r="D32" s="10"/>
      <c r="E32" s="530"/>
      <c r="F32" s="530"/>
      <c r="G32" s="11">
        <f t="shared" si="0"/>
        <v>43.25</v>
      </c>
      <c r="I32" s="86"/>
    </row>
    <row r="33" spans="1:9" ht="120" customHeight="1" x14ac:dyDescent="0.25">
      <c r="A33" s="10">
        <f t="shared" si="1"/>
        <v>29</v>
      </c>
      <c r="B33" s="14">
        <v>93.53</v>
      </c>
      <c r="C33" s="11">
        <f t="shared" si="2"/>
        <v>3.0000000000001137E-2</v>
      </c>
      <c r="D33" s="10"/>
      <c r="E33" s="530" t="s">
        <v>303</v>
      </c>
      <c r="F33" s="530"/>
      <c r="G33" s="11">
        <f t="shared" si="0"/>
        <v>43.22</v>
      </c>
      <c r="I33" s="86"/>
    </row>
    <row r="34" spans="1:9" ht="120" customHeight="1" x14ac:dyDescent="0.25">
      <c r="A34" s="402"/>
      <c r="B34" s="178"/>
      <c r="C34" s="195"/>
      <c r="D34" s="403"/>
      <c r="E34" s="554"/>
      <c r="F34" s="554"/>
      <c r="G34" s="196"/>
      <c r="I34" s="86"/>
    </row>
    <row r="35" spans="1:9" ht="120" customHeight="1" x14ac:dyDescent="0.25">
      <c r="A35" s="13"/>
      <c r="B35" s="181"/>
      <c r="C35" s="197"/>
      <c r="D35" s="180"/>
      <c r="E35" s="550"/>
      <c r="F35" s="550"/>
      <c r="G35" s="198"/>
      <c r="I35" s="86"/>
    </row>
    <row r="36" spans="1:9" ht="120" customHeight="1" x14ac:dyDescent="0.25">
      <c r="A36" s="13"/>
      <c r="B36" s="181"/>
      <c r="C36" s="197"/>
      <c r="D36" s="180"/>
      <c r="E36" s="550"/>
      <c r="F36" s="550"/>
      <c r="G36" s="198"/>
      <c r="I36" s="86"/>
    </row>
    <row r="37" spans="1:9" ht="120" customHeight="1" x14ac:dyDescent="0.25">
      <c r="A37" s="13"/>
      <c r="B37" s="181"/>
      <c r="C37" s="197"/>
      <c r="D37" s="180"/>
      <c r="E37" s="550"/>
      <c r="F37" s="550"/>
      <c r="G37" s="198"/>
      <c r="I37" s="86"/>
    </row>
    <row r="38" spans="1:9" ht="120" customHeight="1" x14ac:dyDescent="0.25">
      <c r="A38" s="13"/>
      <c r="B38" s="181"/>
      <c r="C38" s="197"/>
      <c r="D38" s="180"/>
      <c r="E38" s="550"/>
      <c r="F38" s="550"/>
      <c r="G38" s="198"/>
      <c r="I38" s="86"/>
    </row>
    <row r="39" spans="1:9" ht="120" customHeight="1" x14ac:dyDescent="0.25">
      <c r="A39" s="193"/>
      <c r="B39" s="183"/>
      <c r="C39" s="199"/>
      <c r="D39" s="191"/>
      <c r="E39" s="553"/>
      <c r="F39" s="553"/>
      <c r="G39" s="200"/>
      <c r="I39" s="86"/>
    </row>
    <row r="40" spans="1:9" ht="120" customHeight="1" x14ac:dyDescent="0.35">
      <c r="A40" s="10">
        <f>1+A33</f>
        <v>30</v>
      </c>
      <c r="B40" s="194">
        <v>102.65</v>
      </c>
      <c r="C40" s="11"/>
      <c r="D40" s="10"/>
      <c r="E40" s="555" t="s">
        <v>291</v>
      </c>
      <c r="F40" s="556"/>
      <c r="G40" s="204">
        <f t="shared" si="0"/>
        <v>34.099999999999994</v>
      </c>
      <c r="I40" s="15" t="s">
        <v>306</v>
      </c>
    </row>
    <row r="41" spans="1:9" ht="120" customHeight="1" x14ac:dyDescent="0.25">
      <c r="A41" s="10">
        <f t="shared" si="1"/>
        <v>31</v>
      </c>
      <c r="B41" s="14">
        <v>129.35</v>
      </c>
      <c r="C41" s="204">
        <f t="shared" si="2"/>
        <v>26.699999999999989</v>
      </c>
      <c r="D41" s="10"/>
      <c r="E41" s="530" t="s">
        <v>285</v>
      </c>
      <c r="F41" s="530"/>
      <c r="G41" s="11">
        <f t="shared" si="0"/>
        <v>7.4000000000000057</v>
      </c>
    </row>
    <row r="42" spans="1:9" ht="120" customHeight="1" x14ac:dyDescent="0.25">
      <c r="A42" s="10">
        <f t="shared" si="1"/>
        <v>32</v>
      </c>
      <c r="B42" s="14">
        <v>131.55000000000001</v>
      </c>
      <c r="C42" s="11">
        <f t="shared" si="2"/>
        <v>2.2000000000000171</v>
      </c>
      <c r="D42" s="10"/>
      <c r="E42" s="547"/>
      <c r="F42" s="547"/>
      <c r="G42" s="11">
        <f t="shared" si="0"/>
        <v>5.1999999999999886</v>
      </c>
    </row>
    <row r="43" spans="1:9" ht="120" customHeight="1" x14ac:dyDescent="0.35">
      <c r="A43" s="10">
        <f t="shared" si="1"/>
        <v>33</v>
      </c>
      <c r="B43" s="14">
        <v>136.75</v>
      </c>
      <c r="C43" s="11">
        <f t="shared" si="2"/>
        <v>5.1999999999999886</v>
      </c>
      <c r="D43" s="10"/>
      <c r="E43" s="545" t="str">
        <f>КВ2</f>
        <v>КВ-2 ПКАД</v>
      </c>
      <c r="F43" s="545"/>
      <c r="G43" s="11">
        <f t="shared" si="0"/>
        <v>0</v>
      </c>
      <c r="I43" s="15" t="s">
        <v>304</v>
      </c>
    </row>
  </sheetData>
  <mergeCells count="43">
    <mergeCell ref="E42:F42"/>
    <mergeCell ref="E43:F43"/>
    <mergeCell ref="E36:F36"/>
    <mergeCell ref="E37:F37"/>
    <mergeCell ref="E38:F38"/>
    <mergeCell ref="E39:F39"/>
    <mergeCell ref="E40:F40"/>
    <mergeCell ref="E41:F41"/>
    <mergeCell ref="E35:F35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19:F19"/>
    <mergeCell ref="E20:F20"/>
    <mergeCell ref="E21:F21"/>
    <mergeCell ref="E22:F22"/>
    <mergeCell ref="E23:F23"/>
    <mergeCell ref="E18:F18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6:F6"/>
    <mergeCell ref="D1:E1"/>
    <mergeCell ref="D2:E2"/>
    <mergeCell ref="D3:E3"/>
    <mergeCell ref="E4:F4"/>
    <mergeCell ref="E5:F5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rowBreaks count="1" manualBreakCount="1">
    <brk id="33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J42"/>
  <sheetViews>
    <sheetView view="pageBreakPreview" zoomScale="85" zoomScaleNormal="70" zoomScaleSheetLayoutView="85" zoomScalePageLayoutView="40" workbookViewId="0">
      <selection activeCell="C10" sqref="C10"/>
    </sheetView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9" width="9.140625" style="15"/>
    <col min="10" max="10" width="8" style="15" customWidth="1"/>
    <col min="11" max="16384" width="9.140625" style="15"/>
  </cols>
  <sheetData>
    <row r="1" spans="1:7" ht="17.45" customHeight="1" x14ac:dyDescent="0.25">
      <c r="A1" s="2"/>
      <c r="B1" s="3"/>
      <c r="C1" s="4"/>
      <c r="D1" s="458" t="str">
        <f>НазваниеКраткое</f>
        <v>Западные ворота - 2017</v>
      </c>
      <c r="E1" s="459"/>
      <c r="F1" s="167" t="s">
        <v>8</v>
      </c>
      <c r="G1" s="168">
        <f>КВ3Расстояние</f>
        <v>83.69</v>
      </c>
    </row>
    <row r="2" spans="1:7" ht="17.45" customHeight="1" x14ac:dyDescent="0.25">
      <c r="A2" s="5"/>
      <c r="B2" s="6"/>
      <c r="C2" s="7"/>
      <c r="D2" s="458" t="str">
        <f>КВ2</f>
        <v>КВ-2 ПКАД</v>
      </c>
      <c r="E2" s="459"/>
      <c r="F2" s="167" t="s">
        <v>10</v>
      </c>
      <c r="G2" s="410">
        <f>КВ3Время</f>
        <v>95</v>
      </c>
    </row>
    <row r="3" spans="1:7" ht="17.45" customHeight="1" x14ac:dyDescent="0.25">
      <c r="A3" s="5"/>
      <c r="B3" s="6"/>
      <c r="C3" s="7"/>
      <c r="D3" s="458" t="str">
        <f>КВ3</f>
        <v>КВ-3 Финиш</v>
      </c>
      <c r="E3" s="459"/>
      <c r="F3" s="167" t="s">
        <v>9</v>
      </c>
      <c r="G3" s="168">
        <f>КВ3Скорость</f>
        <v>52.86</v>
      </c>
    </row>
    <row r="4" spans="1:7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7" ht="120" customHeight="1" x14ac:dyDescent="0.3">
      <c r="A5" s="10">
        <v>1</v>
      </c>
      <c r="B5" s="14">
        <v>0</v>
      </c>
      <c r="C5" s="11">
        <v>0</v>
      </c>
      <c r="D5" s="10"/>
      <c r="E5" s="557" t="str">
        <f>КВ2&amp;" / "&amp;ДС5&amp;" Старт"&amp;CHAR(10)&amp;"Vср=ПДД, но не &gt;40 км/ч"</f>
        <v>КВ-2 ПКАД / ДС-5 РД Старт
Vср=ПДД, но не &gt;40 км/ч</v>
      </c>
      <c r="F5" s="557"/>
      <c r="G5" s="11">
        <f t="shared" ref="G5:G41" si="0">КВ3Расстояние-B5</f>
        <v>83.69</v>
      </c>
    </row>
    <row r="6" spans="1:7" ht="120" customHeight="1" x14ac:dyDescent="0.25">
      <c r="A6" s="10">
        <f t="shared" ref="A6:A41" si="1">1+A5</f>
        <v>2</v>
      </c>
      <c r="B6" s="14">
        <v>0.17</v>
      </c>
      <c r="C6" s="166">
        <f t="shared" ref="C6:C41" si="2">B6-B5</f>
        <v>0.17</v>
      </c>
      <c r="D6" s="404"/>
      <c r="E6" s="535" t="s">
        <v>330</v>
      </c>
      <c r="F6" s="535"/>
      <c r="G6" s="11">
        <f t="shared" si="0"/>
        <v>83.52</v>
      </c>
    </row>
    <row r="7" spans="1:7" ht="120" customHeight="1" x14ac:dyDescent="0.25">
      <c r="A7" s="10">
        <f t="shared" si="1"/>
        <v>3</v>
      </c>
      <c r="B7" s="166">
        <v>1.68</v>
      </c>
      <c r="C7" s="166">
        <f t="shared" si="2"/>
        <v>1.51</v>
      </c>
      <c r="D7" s="404"/>
      <c r="E7" s="535"/>
      <c r="F7" s="535"/>
      <c r="G7" s="166">
        <f t="shared" si="0"/>
        <v>82.009999999999991</v>
      </c>
    </row>
    <row r="8" spans="1:7" ht="120" customHeight="1" x14ac:dyDescent="0.25">
      <c r="A8" s="10">
        <f t="shared" si="1"/>
        <v>4</v>
      </c>
      <c r="B8" s="194">
        <v>3.52</v>
      </c>
      <c r="C8" s="166">
        <f t="shared" si="2"/>
        <v>1.84</v>
      </c>
      <c r="D8" s="404"/>
      <c r="E8" s="535"/>
      <c r="F8" s="535"/>
      <c r="G8" s="194">
        <f t="shared" si="0"/>
        <v>80.17</v>
      </c>
    </row>
    <row r="9" spans="1:7" ht="120" customHeight="1" x14ac:dyDescent="0.25">
      <c r="A9" s="10">
        <f t="shared" si="1"/>
        <v>5</v>
      </c>
      <c r="B9" s="194">
        <v>3.63</v>
      </c>
      <c r="C9" s="194">
        <f t="shared" si="2"/>
        <v>0.10999999999999988</v>
      </c>
      <c r="D9" s="404"/>
      <c r="E9" s="535"/>
      <c r="F9" s="535"/>
      <c r="G9" s="204">
        <f t="shared" si="0"/>
        <v>80.06</v>
      </c>
    </row>
    <row r="10" spans="1:7" ht="120" customHeight="1" x14ac:dyDescent="0.25">
      <c r="A10" s="10">
        <f t="shared" si="1"/>
        <v>6</v>
      </c>
      <c r="B10" s="194">
        <v>4.24</v>
      </c>
      <c r="C10" s="194">
        <f t="shared" si="2"/>
        <v>0.61000000000000032</v>
      </c>
      <c r="D10" s="404"/>
      <c r="E10" s="535"/>
      <c r="F10" s="535"/>
      <c r="G10" s="194">
        <f t="shared" si="0"/>
        <v>79.45</v>
      </c>
    </row>
    <row r="11" spans="1:7" ht="120" customHeight="1" x14ac:dyDescent="0.25">
      <c r="A11" s="10">
        <f t="shared" si="1"/>
        <v>7</v>
      </c>
      <c r="B11" s="194">
        <v>5.22</v>
      </c>
      <c r="C11" s="166">
        <f t="shared" si="2"/>
        <v>0.97999999999999954</v>
      </c>
      <c r="D11" s="404"/>
      <c r="E11" s="535"/>
      <c r="F11" s="535"/>
      <c r="G11" s="194">
        <f t="shared" si="0"/>
        <v>78.47</v>
      </c>
    </row>
    <row r="12" spans="1:7" ht="120" customHeight="1" x14ac:dyDescent="0.25">
      <c r="A12" s="10">
        <f t="shared" si="1"/>
        <v>8</v>
      </c>
      <c r="B12" s="194">
        <v>5.29</v>
      </c>
      <c r="C12" s="14">
        <f t="shared" si="2"/>
        <v>7.0000000000000284E-2</v>
      </c>
      <c r="D12" s="404"/>
      <c r="E12" s="535"/>
      <c r="F12" s="535"/>
      <c r="G12" s="194">
        <f t="shared" si="0"/>
        <v>78.399999999999991</v>
      </c>
    </row>
    <row r="13" spans="1:7" ht="120" customHeight="1" x14ac:dyDescent="0.35">
      <c r="A13" s="10">
        <f t="shared" si="1"/>
        <v>9</v>
      </c>
      <c r="B13" s="194">
        <v>5.82</v>
      </c>
      <c r="C13" s="14">
        <f t="shared" si="2"/>
        <v>0.53000000000000025</v>
      </c>
      <c r="D13" s="404"/>
      <c r="E13" s="560" t="s">
        <v>266</v>
      </c>
      <c r="F13" s="560"/>
      <c r="G13" s="194">
        <f t="shared" si="0"/>
        <v>77.87</v>
      </c>
    </row>
    <row r="14" spans="1:7" ht="120" customHeight="1" x14ac:dyDescent="0.25">
      <c r="A14" s="402"/>
      <c r="B14" s="178"/>
      <c r="C14" s="178"/>
      <c r="D14" s="179"/>
      <c r="E14" s="561"/>
      <c r="F14" s="561"/>
      <c r="G14" s="201"/>
    </row>
    <row r="15" spans="1:7" ht="120" customHeight="1" x14ac:dyDescent="0.25">
      <c r="A15" s="13"/>
      <c r="B15" s="181"/>
      <c r="C15" s="181"/>
      <c r="D15" s="182"/>
      <c r="E15" s="539"/>
      <c r="F15" s="539"/>
      <c r="G15" s="202"/>
    </row>
    <row r="16" spans="1:7" ht="120" customHeight="1" x14ac:dyDescent="0.25">
      <c r="A16" s="13"/>
      <c r="B16" s="181"/>
      <c r="C16" s="181"/>
      <c r="D16" s="182"/>
      <c r="E16" s="539"/>
      <c r="F16" s="539"/>
      <c r="G16" s="202"/>
    </row>
    <row r="17" spans="1:10" ht="120" customHeight="1" x14ac:dyDescent="0.25">
      <c r="A17" s="13"/>
      <c r="B17" s="181"/>
      <c r="C17" s="181"/>
      <c r="D17" s="182"/>
      <c r="E17" s="539"/>
      <c r="F17" s="539"/>
      <c r="G17" s="202"/>
      <c r="J17" s="86"/>
    </row>
    <row r="18" spans="1:10" ht="120" customHeight="1" x14ac:dyDescent="0.25">
      <c r="A18" s="13"/>
      <c r="B18" s="181"/>
      <c r="C18" s="181"/>
      <c r="D18" s="182"/>
      <c r="E18" s="539"/>
      <c r="F18" s="539"/>
      <c r="G18" s="202"/>
      <c r="J18" s="86"/>
    </row>
    <row r="19" spans="1:10" ht="120" customHeight="1" x14ac:dyDescent="0.25">
      <c r="A19" s="193"/>
      <c r="B19" s="183"/>
      <c r="C19" s="183"/>
      <c r="D19" s="184"/>
      <c r="E19" s="562"/>
      <c r="F19" s="562"/>
      <c r="G19" s="203"/>
      <c r="J19" s="86"/>
    </row>
    <row r="20" spans="1:10" ht="120" customHeight="1" x14ac:dyDescent="0.35">
      <c r="A20" s="10">
        <f>1+A13</f>
        <v>10</v>
      </c>
      <c r="B20" s="14">
        <v>14.77</v>
      </c>
      <c r="C20" s="14"/>
      <c r="D20" s="404"/>
      <c r="E20" s="533" t="s">
        <v>291</v>
      </c>
      <c r="F20" s="534"/>
      <c r="G20" s="14">
        <f t="shared" si="0"/>
        <v>68.92</v>
      </c>
      <c r="J20" s="86"/>
    </row>
    <row r="21" spans="1:10" ht="120" customHeight="1" x14ac:dyDescent="0.25">
      <c r="A21" s="10">
        <f t="shared" si="1"/>
        <v>11</v>
      </c>
      <c r="B21" s="14">
        <v>15.26</v>
      </c>
      <c r="C21" s="14">
        <f t="shared" si="2"/>
        <v>0.49000000000000021</v>
      </c>
      <c r="D21" s="404"/>
      <c r="E21" s="535"/>
      <c r="F21" s="535"/>
      <c r="G21" s="14">
        <f t="shared" si="0"/>
        <v>68.429999999999993</v>
      </c>
      <c r="J21" s="86"/>
    </row>
    <row r="22" spans="1:10" ht="120" customHeight="1" x14ac:dyDescent="0.25">
      <c r="A22" s="10">
        <f t="shared" si="1"/>
        <v>12</v>
      </c>
      <c r="B22" s="14">
        <v>16.43</v>
      </c>
      <c r="C22" s="14">
        <f t="shared" si="2"/>
        <v>1.17</v>
      </c>
      <c r="D22" s="404"/>
      <c r="E22" s="535" t="s">
        <v>307</v>
      </c>
      <c r="F22" s="535"/>
      <c r="G22" s="14">
        <f t="shared" si="0"/>
        <v>67.259999999999991</v>
      </c>
      <c r="J22" s="86"/>
    </row>
    <row r="23" spans="1:10" ht="120" customHeight="1" x14ac:dyDescent="0.25">
      <c r="A23" s="10">
        <f t="shared" si="1"/>
        <v>13</v>
      </c>
      <c r="B23" s="14">
        <v>19.93</v>
      </c>
      <c r="C23" s="14">
        <f t="shared" si="2"/>
        <v>3.5</v>
      </c>
      <c r="D23" s="404"/>
      <c r="E23" s="535"/>
      <c r="F23" s="535"/>
      <c r="G23" s="14">
        <f t="shared" si="0"/>
        <v>63.76</v>
      </c>
      <c r="J23" s="15" t="s">
        <v>309</v>
      </c>
    </row>
    <row r="24" spans="1:10" ht="120" customHeight="1" x14ac:dyDescent="0.25">
      <c r="A24" s="10">
        <f t="shared" si="1"/>
        <v>14</v>
      </c>
      <c r="B24" s="14">
        <v>21.02</v>
      </c>
      <c r="C24" s="14">
        <f t="shared" si="2"/>
        <v>1.0899999999999999</v>
      </c>
      <c r="D24" s="404"/>
      <c r="E24" s="535"/>
      <c r="F24" s="535"/>
      <c r="G24" s="14">
        <f t="shared" si="0"/>
        <v>62.67</v>
      </c>
      <c r="J24" s="86"/>
    </row>
    <row r="25" spans="1:10" ht="120" customHeight="1" x14ac:dyDescent="0.25">
      <c r="A25" s="10">
        <f t="shared" si="1"/>
        <v>15</v>
      </c>
      <c r="B25" s="14">
        <v>21.37</v>
      </c>
      <c r="C25" s="14">
        <f t="shared" si="2"/>
        <v>0.35000000000000142</v>
      </c>
      <c r="D25" s="404"/>
      <c r="E25" s="535"/>
      <c r="F25" s="535"/>
      <c r="G25" s="14">
        <f t="shared" si="0"/>
        <v>62.319999999999993</v>
      </c>
      <c r="J25" s="86"/>
    </row>
    <row r="26" spans="1:10" ht="120" customHeight="1" x14ac:dyDescent="0.25">
      <c r="A26" s="10">
        <f t="shared" si="1"/>
        <v>16</v>
      </c>
      <c r="B26" s="14">
        <v>21.66</v>
      </c>
      <c r="C26" s="14">
        <f t="shared" si="2"/>
        <v>0.28999999999999915</v>
      </c>
      <c r="D26" s="404"/>
      <c r="E26" s="535"/>
      <c r="F26" s="535"/>
      <c r="G26" s="14">
        <f t="shared" si="0"/>
        <v>62.03</v>
      </c>
      <c r="J26" s="86"/>
    </row>
    <row r="27" spans="1:10" ht="120" customHeight="1" x14ac:dyDescent="0.25">
      <c r="A27" s="10">
        <f t="shared" si="1"/>
        <v>17</v>
      </c>
      <c r="B27" s="14">
        <v>21.77</v>
      </c>
      <c r="C27" s="14">
        <f t="shared" si="2"/>
        <v>0.10999999999999943</v>
      </c>
      <c r="D27" s="404"/>
      <c r="E27" s="535"/>
      <c r="F27" s="535"/>
      <c r="G27" s="14">
        <f t="shared" si="0"/>
        <v>61.92</v>
      </c>
      <c r="J27" s="86"/>
    </row>
    <row r="28" spans="1:10" ht="120" customHeight="1" x14ac:dyDescent="0.25">
      <c r="A28" s="10">
        <f t="shared" si="1"/>
        <v>18</v>
      </c>
      <c r="B28" s="14">
        <v>22.37</v>
      </c>
      <c r="C28" s="14">
        <f t="shared" si="2"/>
        <v>0.60000000000000142</v>
      </c>
      <c r="D28" s="404"/>
      <c r="E28" s="535"/>
      <c r="F28" s="535"/>
      <c r="G28" s="14">
        <f t="shared" si="0"/>
        <v>61.319999999999993</v>
      </c>
      <c r="J28" s="86"/>
    </row>
    <row r="29" spans="1:10" ht="120" customHeight="1" x14ac:dyDescent="0.25">
      <c r="A29" s="10">
        <f t="shared" si="1"/>
        <v>19</v>
      </c>
      <c r="B29" s="14">
        <v>23.34</v>
      </c>
      <c r="C29" s="14">
        <f t="shared" si="2"/>
        <v>0.96999999999999886</v>
      </c>
      <c r="D29" s="404"/>
      <c r="E29" s="535"/>
      <c r="F29" s="535"/>
      <c r="G29" s="14">
        <f t="shared" si="0"/>
        <v>60.349999999999994</v>
      </c>
      <c r="J29" s="86"/>
    </row>
    <row r="30" spans="1:10" ht="120" customHeight="1" x14ac:dyDescent="0.35">
      <c r="A30" s="10">
        <f t="shared" si="1"/>
        <v>20</v>
      </c>
      <c r="B30" s="194">
        <v>75.010000000000005</v>
      </c>
      <c r="C30" s="194">
        <f t="shared" si="2"/>
        <v>51.67</v>
      </c>
      <c r="D30" s="404"/>
      <c r="E30" s="560"/>
      <c r="F30" s="560"/>
      <c r="G30" s="194">
        <f t="shared" si="0"/>
        <v>8.6799999999999926</v>
      </c>
      <c r="I30" s="86"/>
      <c r="J30" s="86"/>
    </row>
    <row r="31" spans="1:10" ht="120" customHeight="1" x14ac:dyDescent="0.35">
      <c r="A31" s="10">
        <f t="shared" si="1"/>
        <v>21</v>
      </c>
      <c r="B31" s="14">
        <v>76.069999999999993</v>
      </c>
      <c r="C31" s="194">
        <f t="shared" si="2"/>
        <v>1.0599999999999881</v>
      </c>
      <c r="D31" s="404"/>
      <c r="E31" s="560"/>
      <c r="F31" s="560"/>
      <c r="G31" s="14">
        <f t="shared" si="0"/>
        <v>7.6200000000000045</v>
      </c>
      <c r="I31" s="86"/>
      <c r="J31" s="86"/>
    </row>
    <row r="32" spans="1:10" ht="120" customHeight="1" x14ac:dyDescent="0.25">
      <c r="A32" s="10">
        <f t="shared" si="1"/>
        <v>22</v>
      </c>
      <c r="B32" s="14">
        <v>76.349999999999994</v>
      </c>
      <c r="C32" s="14">
        <f t="shared" si="2"/>
        <v>0.28000000000000114</v>
      </c>
      <c r="D32" s="404"/>
      <c r="E32" s="535"/>
      <c r="F32" s="535"/>
      <c r="G32" s="14">
        <f t="shared" si="0"/>
        <v>7.3400000000000034</v>
      </c>
      <c r="I32" s="86"/>
      <c r="J32" s="86"/>
    </row>
    <row r="33" spans="1:10" ht="120" customHeight="1" x14ac:dyDescent="0.25">
      <c r="A33" s="10">
        <f t="shared" si="1"/>
        <v>23</v>
      </c>
      <c r="B33" s="14">
        <v>77.010000000000005</v>
      </c>
      <c r="C33" s="14">
        <f t="shared" si="2"/>
        <v>0.6600000000000108</v>
      </c>
      <c r="D33" s="404"/>
      <c r="E33" s="535"/>
      <c r="F33" s="535"/>
      <c r="G33" s="14">
        <f t="shared" si="0"/>
        <v>6.6799999999999926</v>
      </c>
      <c r="I33" s="86"/>
      <c r="J33" s="86"/>
    </row>
    <row r="34" spans="1:10" ht="120" customHeight="1" x14ac:dyDescent="0.25">
      <c r="A34" s="10">
        <f t="shared" si="1"/>
        <v>24</v>
      </c>
      <c r="B34" s="14">
        <v>77.69</v>
      </c>
      <c r="C34" s="14">
        <f t="shared" si="2"/>
        <v>0.67999999999999261</v>
      </c>
      <c r="D34" s="404"/>
      <c r="E34" s="535"/>
      <c r="F34" s="535"/>
      <c r="G34" s="14">
        <f t="shared" si="0"/>
        <v>6</v>
      </c>
      <c r="I34" s="86"/>
      <c r="J34" s="86"/>
    </row>
    <row r="35" spans="1:10" ht="120" customHeight="1" x14ac:dyDescent="0.25">
      <c r="A35" s="10">
        <f t="shared" si="1"/>
        <v>25</v>
      </c>
      <c r="B35" s="14">
        <v>78.7</v>
      </c>
      <c r="C35" s="14">
        <f t="shared" si="2"/>
        <v>1.0100000000000051</v>
      </c>
      <c r="D35" s="404"/>
      <c r="E35" s="535"/>
      <c r="F35" s="535"/>
      <c r="G35" s="14">
        <f t="shared" si="0"/>
        <v>4.9899999999999949</v>
      </c>
      <c r="I35" s="86"/>
      <c r="J35" s="86"/>
    </row>
    <row r="36" spans="1:10" ht="120" customHeight="1" x14ac:dyDescent="0.25">
      <c r="A36" s="10">
        <f t="shared" si="1"/>
        <v>26</v>
      </c>
      <c r="B36" s="14">
        <v>80.2</v>
      </c>
      <c r="C36" s="14">
        <f t="shared" si="2"/>
        <v>1.5</v>
      </c>
      <c r="D36" s="404"/>
      <c r="E36" s="535"/>
      <c r="F36" s="535"/>
      <c r="G36" s="14">
        <f t="shared" si="0"/>
        <v>3.4899999999999949</v>
      </c>
      <c r="I36" s="86"/>
      <c r="J36" s="86"/>
    </row>
    <row r="37" spans="1:10" ht="120" customHeight="1" x14ac:dyDescent="0.25">
      <c r="A37" s="10">
        <f t="shared" si="1"/>
        <v>27</v>
      </c>
      <c r="B37" s="14">
        <v>81.63</v>
      </c>
      <c r="C37" s="14">
        <f t="shared" si="2"/>
        <v>1.4299999999999926</v>
      </c>
      <c r="D37" s="404"/>
      <c r="E37" s="535"/>
      <c r="F37" s="535"/>
      <c r="G37" s="14">
        <f t="shared" si="0"/>
        <v>2.0600000000000023</v>
      </c>
      <c r="I37" s="86"/>
      <c r="J37" s="86"/>
    </row>
    <row r="38" spans="1:10" ht="120" customHeight="1" x14ac:dyDescent="0.25">
      <c r="A38" s="10">
        <f t="shared" si="1"/>
        <v>28</v>
      </c>
      <c r="B38" s="14">
        <v>82.21</v>
      </c>
      <c r="C38" s="14">
        <f t="shared" si="2"/>
        <v>0.57999999999999829</v>
      </c>
      <c r="D38" s="404"/>
      <c r="E38" s="535"/>
      <c r="F38" s="535"/>
      <c r="G38" s="14">
        <f t="shared" si="0"/>
        <v>1.480000000000004</v>
      </c>
      <c r="I38" s="86"/>
      <c r="J38" s="86"/>
    </row>
    <row r="39" spans="1:10" ht="120" customHeight="1" x14ac:dyDescent="0.25">
      <c r="A39" s="10">
        <f t="shared" si="1"/>
        <v>29</v>
      </c>
      <c r="B39" s="14">
        <v>83.4</v>
      </c>
      <c r="C39" s="14">
        <f t="shared" si="2"/>
        <v>1.1900000000000119</v>
      </c>
      <c r="D39" s="404"/>
      <c r="E39" s="535" t="s">
        <v>276</v>
      </c>
      <c r="F39" s="535"/>
      <c r="G39" s="14">
        <f t="shared" si="0"/>
        <v>0.28999999999999204</v>
      </c>
      <c r="I39" s="86"/>
      <c r="J39" s="86"/>
    </row>
    <row r="40" spans="1:10" ht="120" customHeight="1" x14ac:dyDescent="0.35">
      <c r="A40" s="10">
        <f t="shared" si="1"/>
        <v>30</v>
      </c>
      <c r="B40" s="14">
        <v>83.67</v>
      </c>
      <c r="C40" s="14">
        <f t="shared" si="2"/>
        <v>0.26999999999999602</v>
      </c>
      <c r="D40" s="404"/>
      <c r="E40" s="545"/>
      <c r="F40" s="545"/>
      <c r="G40" s="14">
        <f t="shared" si="0"/>
        <v>1.9999999999996021E-2</v>
      </c>
      <c r="I40" s="86"/>
      <c r="J40" s="86"/>
    </row>
    <row r="41" spans="1:10" ht="120" customHeight="1" x14ac:dyDescent="0.35">
      <c r="A41" s="10">
        <f t="shared" si="1"/>
        <v>31</v>
      </c>
      <c r="B41" s="14">
        <v>83.69</v>
      </c>
      <c r="C41" s="14">
        <f t="shared" si="2"/>
        <v>1.9999999999996021E-2</v>
      </c>
      <c r="D41" s="231"/>
      <c r="E41" s="545" t="str">
        <f>КВ3</f>
        <v>КВ-3 Финиш</v>
      </c>
      <c r="F41" s="556"/>
      <c r="G41" s="14">
        <f t="shared" si="0"/>
        <v>0</v>
      </c>
      <c r="I41" s="86"/>
      <c r="J41" s="86"/>
    </row>
    <row r="42" spans="1:10" ht="120" customHeight="1" x14ac:dyDescent="0.25">
      <c r="A42" s="563" t="str">
        <f>"Сдайте контрольную карту и неиспользованные конверты судье финиша. Далее - "&amp;ДС6</f>
        <v>Сдайте контрольную карту и неиспользованные конверты судье финиша. Далее - ДС-6 СЛ</v>
      </c>
      <c r="B42" s="564"/>
      <c r="C42" s="564"/>
      <c r="D42" s="564"/>
      <c r="E42" s="564"/>
      <c r="F42" s="564"/>
      <c r="G42" s="565"/>
      <c r="J42" s="86" t="s">
        <v>308</v>
      </c>
    </row>
  </sheetData>
  <mergeCells count="42">
    <mergeCell ref="A42:G42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E30:F30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18:F18"/>
    <mergeCell ref="E7:F7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6:F6"/>
    <mergeCell ref="D1:E1"/>
    <mergeCell ref="D2:E2"/>
    <mergeCell ref="D3:E3"/>
    <mergeCell ref="E4:F4"/>
    <mergeCell ref="E5:F5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rowBreaks count="1" manualBreakCount="1">
    <brk id="13" max="6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J41"/>
  <sheetViews>
    <sheetView workbookViewId="0"/>
  </sheetViews>
  <sheetFormatPr defaultRowHeight="15" x14ac:dyDescent="0.25"/>
  <cols>
    <col min="7" max="7" width="9.140625" style="15"/>
  </cols>
  <sheetData>
    <row r="1" spans="1:10" ht="21" customHeight="1" x14ac:dyDescent="0.25">
      <c r="A1" s="99"/>
      <c r="B1" s="100"/>
      <c r="C1" s="573" t="str">
        <f>НазваниеПолное</f>
        <v>Ралли "Западные ворота - 2017"</v>
      </c>
      <c r="D1" s="573"/>
      <c r="E1" s="573"/>
      <c r="F1" s="573"/>
      <c r="G1" s="573"/>
      <c r="H1" s="573"/>
      <c r="I1" s="575"/>
      <c r="J1" s="576"/>
    </row>
    <row r="2" spans="1:10" ht="21" customHeight="1" x14ac:dyDescent="0.25">
      <c r="A2" s="99"/>
      <c r="B2" s="100"/>
      <c r="C2" s="574" t="s">
        <v>257</v>
      </c>
      <c r="D2" s="574"/>
      <c r="E2" s="574"/>
      <c r="F2" s="574"/>
      <c r="G2" s="574"/>
      <c r="H2" s="574"/>
      <c r="I2" s="577"/>
      <c r="J2" s="578"/>
    </row>
    <row r="3" spans="1:10" ht="3" customHeight="1" x14ac:dyDescent="0.25">
      <c r="A3" s="45"/>
      <c r="B3" s="46"/>
      <c r="C3" s="47"/>
      <c r="D3" s="69"/>
      <c r="E3" s="69"/>
      <c r="F3" s="69"/>
      <c r="G3" s="69"/>
      <c r="H3" s="69"/>
      <c r="I3" s="69"/>
      <c r="J3" s="70"/>
    </row>
    <row r="4" spans="1:10" ht="15.75" x14ac:dyDescent="0.25">
      <c r="A4" s="68" t="s">
        <v>73</v>
      </c>
      <c r="B4" s="68"/>
      <c r="C4" s="68"/>
      <c r="D4" s="298"/>
      <c r="E4" s="298"/>
      <c r="F4" s="298"/>
      <c r="G4" s="298"/>
      <c r="H4" s="298"/>
      <c r="I4" s="298"/>
      <c r="J4" s="299"/>
    </row>
    <row r="5" spans="1:10" ht="15.75" x14ac:dyDescent="0.25">
      <c r="A5" s="68" t="s">
        <v>74</v>
      </c>
      <c r="B5" s="68"/>
      <c r="C5" s="68"/>
      <c r="D5" s="300"/>
      <c r="E5" s="300"/>
      <c r="F5" s="300"/>
      <c r="G5" s="300"/>
      <c r="H5" s="300"/>
      <c r="I5" s="300"/>
      <c r="J5" s="301"/>
    </row>
    <row r="6" spans="1:10" ht="3" customHeight="1" x14ac:dyDescent="0.25">
      <c r="A6" s="48"/>
      <c r="B6" s="48"/>
      <c r="C6" s="48"/>
      <c r="D6" s="72"/>
      <c r="E6" s="71"/>
      <c r="F6" s="71"/>
      <c r="G6" s="71"/>
      <c r="H6" s="71"/>
      <c r="I6" s="71"/>
      <c r="J6" s="71"/>
    </row>
    <row r="7" spans="1:10" ht="15.75" x14ac:dyDescent="0.25">
      <c r="A7" s="68" t="s">
        <v>75</v>
      </c>
      <c r="B7" s="68"/>
      <c r="C7" s="68"/>
      <c r="D7" s="302"/>
      <c r="E7" s="302"/>
      <c r="F7" s="302"/>
      <c r="G7" s="302"/>
      <c r="H7" s="302"/>
      <c r="I7" s="302"/>
      <c r="J7" s="303"/>
    </row>
    <row r="8" spans="1:10" ht="15.75" x14ac:dyDescent="0.25">
      <c r="A8" s="68" t="s">
        <v>76</v>
      </c>
      <c r="B8" s="68"/>
      <c r="C8" s="68"/>
      <c r="D8" s="73"/>
      <c r="E8" s="73"/>
      <c r="F8" s="73"/>
      <c r="G8" s="73"/>
      <c r="H8" s="73"/>
      <c r="I8" s="73"/>
      <c r="J8" s="304"/>
    </row>
    <row r="9" spans="1:10" ht="15.75" x14ac:dyDescent="0.25">
      <c r="A9" s="68" t="s">
        <v>115</v>
      </c>
      <c r="B9" s="68"/>
      <c r="C9" s="68"/>
      <c r="D9" s="300"/>
      <c r="E9" s="300"/>
      <c r="F9" s="300"/>
      <c r="G9" s="300"/>
      <c r="H9" s="300"/>
      <c r="I9" s="300"/>
      <c r="J9" s="301"/>
    </row>
    <row r="10" spans="1:10" ht="3" customHeight="1" x14ac:dyDescent="0.25">
      <c r="A10" s="48"/>
      <c r="B10" s="48"/>
      <c r="C10" s="48"/>
      <c r="D10" s="72"/>
      <c r="E10" s="71"/>
      <c r="F10" s="71"/>
      <c r="G10" s="71"/>
      <c r="H10" s="71"/>
      <c r="I10" s="71"/>
      <c r="J10" s="71"/>
    </row>
    <row r="11" spans="1:10" ht="15.75" x14ac:dyDescent="0.25">
      <c r="A11" s="68" t="s">
        <v>77</v>
      </c>
      <c r="B11" s="68"/>
      <c r="C11" s="68"/>
      <c r="D11" s="302"/>
      <c r="E11" s="302"/>
      <c r="F11" s="302"/>
      <c r="G11" s="302"/>
      <c r="H11" s="302"/>
      <c r="I11" s="302"/>
      <c r="J11" s="303"/>
    </row>
    <row r="12" spans="1:10" ht="15.75" x14ac:dyDescent="0.25">
      <c r="A12" s="68" t="s">
        <v>76</v>
      </c>
      <c r="B12" s="68"/>
      <c r="C12" s="68"/>
      <c r="D12" s="73"/>
      <c r="E12" s="73"/>
      <c r="F12" s="73"/>
      <c r="G12" s="73"/>
      <c r="H12" s="73"/>
      <c r="I12" s="73"/>
      <c r="J12" s="304"/>
    </row>
    <row r="13" spans="1:10" ht="15.75" x14ac:dyDescent="0.25">
      <c r="A13" s="68" t="s">
        <v>115</v>
      </c>
      <c r="B13" s="68"/>
      <c r="C13" s="68"/>
      <c r="D13" s="300"/>
      <c r="E13" s="300"/>
      <c r="F13" s="300"/>
      <c r="G13" s="300"/>
      <c r="H13" s="300"/>
      <c r="I13" s="300"/>
      <c r="J13" s="301"/>
    </row>
    <row r="14" spans="1:10" ht="3" customHeight="1" x14ac:dyDescent="0.25">
      <c r="A14" s="48"/>
      <c r="B14" s="48"/>
      <c r="C14" s="48"/>
      <c r="D14" s="72"/>
      <c r="E14" s="71"/>
      <c r="F14" s="71"/>
      <c r="G14" s="71"/>
      <c r="H14" s="71"/>
      <c r="I14" s="71"/>
      <c r="J14" s="71"/>
    </row>
    <row r="15" spans="1:10" ht="15.75" x14ac:dyDescent="0.25">
      <c r="A15" s="68" t="s">
        <v>20</v>
      </c>
      <c r="B15" s="68"/>
      <c r="C15" s="68"/>
      <c r="D15" s="298"/>
      <c r="E15" s="298"/>
      <c r="F15" s="298"/>
      <c r="G15" s="298"/>
      <c r="H15" s="298"/>
      <c r="I15" s="298"/>
      <c r="J15" s="299"/>
    </row>
    <row r="16" spans="1:10" ht="15.75" x14ac:dyDescent="0.25">
      <c r="A16" s="68" t="s">
        <v>78</v>
      </c>
      <c r="B16" s="68"/>
      <c r="C16" s="68"/>
      <c r="D16" s="300"/>
      <c r="E16" s="300"/>
      <c r="F16" s="300"/>
      <c r="G16" s="300"/>
      <c r="H16" s="300"/>
      <c r="I16" s="300"/>
      <c r="J16" s="301"/>
    </row>
    <row r="17" spans="1:10" ht="3" customHeight="1" x14ac:dyDescent="0.25">
      <c r="A17" s="48"/>
      <c r="B17" s="48"/>
      <c r="C17" s="48"/>
      <c r="D17" s="71"/>
      <c r="E17" s="71"/>
      <c r="F17" s="71"/>
      <c r="G17" s="71"/>
      <c r="H17" s="71"/>
      <c r="I17" s="71"/>
      <c r="J17" s="71"/>
    </row>
    <row r="18" spans="1:10" ht="72" customHeight="1" x14ac:dyDescent="0.25">
      <c r="A18" s="567" t="s">
        <v>215</v>
      </c>
      <c r="B18" s="568"/>
      <c r="C18" s="568"/>
      <c r="D18" s="568"/>
      <c r="E18" s="568"/>
      <c r="F18" s="568"/>
      <c r="G18" s="568"/>
      <c r="H18" s="568"/>
      <c r="I18" s="568"/>
      <c r="J18" s="569"/>
    </row>
    <row r="19" spans="1:10" ht="21" customHeight="1" x14ac:dyDescent="0.25">
      <c r="A19" s="570" t="s">
        <v>80</v>
      </c>
      <c r="B19" s="571"/>
      <c r="C19" s="571"/>
      <c r="D19" s="571"/>
      <c r="E19" s="571"/>
      <c r="F19" s="571" t="s">
        <v>81</v>
      </c>
      <c r="G19" s="571"/>
      <c r="H19" s="571"/>
      <c r="I19" s="571"/>
      <c r="J19" s="572"/>
    </row>
    <row r="20" spans="1:10" ht="42" customHeight="1" x14ac:dyDescent="0.25">
      <c r="A20" s="305"/>
      <c r="B20" s="306"/>
      <c r="C20" s="306"/>
      <c r="D20" s="306"/>
      <c r="E20" s="307"/>
      <c r="F20" s="305"/>
      <c r="G20" s="306"/>
      <c r="H20" s="306"/>
      <c r="I20" s="306"/>
      <c r="J20" s="307"/>
    </row>
    <row r="21" spans="1:10" ht="65.25" customHeight="1" x14ac:dyDescent="0.25"/>
    <row r="22" spans="1:10" s="15" customFormat="1" ht="21" customHeight="1" x14ac:dyDescent="0.25">
      <c r="A22" s="99"/>
      <c r="B22" s="100"/>
      <c r="C22" s="573" t="str">
        <f>НазваниеПолное</f>
        <v>Ралли "Западные ворота - 2017"</v>
      </c>
      <c r="D22" s="573"/>
      <c r="E22" s="573"/>
      <c r="F22" s="573"/>
      <c r="G22" s="573"/>
      <c r="H22" s="573"/>
      <c r="I22" s="575"/>
      <c r="J22" s="576"/>
    </row>
    <row r="23" spans="1:10" s="15" customFormat="1" ht="21" customHeight="1" x14ac:dyDescent="0.25">
      <c r="A23" s="99"/>
      <c r="B23" s="100"/>
      <c r="C23" s="573" t="s">
        <v>257</v>
      </c>
      <c r="D23" s="573"/>
      <c r="E23" s="573"/>
      <c r="F23" s="573"/>
      <c r="G23" s="573"/>
      <c r="H23" s="573"/>
      <c r="I23" s="577"/>
      <c r="J23" s="578"/>
    </row>
    <row r="24" spans="1:10" s="15" customFormat="1" ht="3" customHeight="1" x14ac:dyDescent="0.25">
      <c r="A24" s="45"/>
      <c r="B24" s="46"/>
      <c r="C24" s="47"/>
      <c r="D24" s="69"/>
      <c r="E24" s="69"/>
      <c r="F24" s="69"/>
      <c r="G24" s="69"/>
      <c r="H24" s="69"/>
      <c r="I24" s="69"/>
      <c r="J24" s="70"/>
    </row>
    <row r="25" spans="1:10" s="15" customFormat="1" ht="15.75" x14ac:dyDescent="0.25">
      <c r="A25" s="68" t="s">
        <v>73</v>
      </c>
      <c r="B25" s="68"/>
      <c r="C25" s="68"/>
      <c r="D25" s="298"/>
      <c r="E25" s="298"/>
      <c r="F25" s="298"/>
      <c r="G25" s="298"/>
      <c r="H25" s="298"/>
      <c r="I25" s="298"/>
      <c r="J25" s="299"/>
    </row>
    <row r="26" spans="1:10" s="15" customFormat="1" ht="15.75" x14ac:dyDescent="0.25">
      <c r="A26" s="68" t="s">
        <v>74</v>
      </c>
      <c r="B26" s="68"/>
      <c r="C26" s="68"/>
      <c r="D26" s="300"/>
      <c r="E26" s="300"/>
      <c r="F26" s="300"/>
      <c r="G26" s="300"/>
      <c r="H26" s="300"/>
      <c r="I26" s="300"/>
      <c r="J26" s="301"/>
    </row>
    <row r="27" spans="1:10" s="15" customFormat="1" ht="3" customHeight="1" x14ac:dyDescent="0.25">
      <c r="A27" s="48"/>
      <c r="B27" s="48"/>
      <c r="C27" s="48"/>
      <c r="D27" s="72"/>
      <c r="E27" s="71"/>
      <c r="F27" s="71"/>
      <c r="G27" s="71"/>
      <c r="H27" s="71"/>
      <c r="I27" s="71"/>
      <c r="J27" s="71"/>
    </row>
    <row r="28" spans="1:10" s="15" customFormat="1" ht="15.75" x14ac:dyDescent="0.25">
      <c r="A28" s="68" t="s">
        <v>75</v>
      </c>
      <c r="B28" s="68"/>
      <c r="C28" s="68"/>
      <c r="D28" s="302"/>
      <c r="E28" s="302"/>
      <c r="F28" s="302"/>
      <c r="G28" s="302"/>
      <c r="H28" s="302"/>
      <c r="I28" s="302"/>
      <c r="J28" s="303"/>
    </row>
    <row r="29" spans="1:10" s="15" customFormat="1" ht="15.75" x14ac:dyDescent="0.25">
      <c r="A29" s="68" t="s">
        <v>76</v>
      </c>
      <c r="B29" s="68"/>
      <c r="C29" s="68"/>
      <c r="D29" s="73"/>
      <c r="E29" s="73"/>
      <c r="F29" s="73"/>
      <c r="G29" s="73"/>
      <c r="H29" s="73"/>
      <c r="I29" s="73"/>
      <c r="J29" s="304"/>
    </row>
    <row r="30" spans="1:10" s="15" customFormat="1" ht="15.75" x14ac:dyDescent="0.25">
      <c r="A30" s="68" t="s">
        <v>115</v>
      </c>
      <c r="B30" s="68"/>
      <c r="C30" s="68"/>
      <c r="D30" s="300"/>
      <c r="E30" s="300"/>
      <c r="F30" s="300"/>
      <c r="G30" s="300"/>
      <c r="H30" s="300"/>
      <c r="I30" s="300"/>
      <c r="J30" s="301"/>
    </row>
    <row r="31" spans="1:10" s="15" customFormat="1" ht="3" customHeight="1" x14ac:dyDescent="0.25">
      <c r="A31" s="48"/>
      <c r="B31" s="48"/>
      <c r="C31" s="48"/>
      <c r="D31" s="72"/>
      <c r="E31" s="71"/>
      <c r="F31" s="71"/>
      <c r="G31" s="71"/>
      <c r="H31" s="71"/>
      <c r="I31" s="71"/>
      <c r="J31" s="71"/>
    </row>
    <row r="32" spans="1:10" s="15" customFormat="1" ht="15.75" x14ac:dyDescent="0.25">
      <c r="A32" s="68" t="s">
        <v>77</v>
      </c>
      <c r="B32" s="68"/>
      <c r="C32" s="68"/>
      <c r="D32" s="302"/>
      <c r="E32" s="302"/>
      <c r="F32" s="302"/>
      <c r="G32" s="302"/>
      <c r="H32" s="302"/>
      <c r="I32" s="302"/>
      <c r="J32" s="303"/>
    </row>
    <row r="33" spans="1:10" s="15" customFormat="1" ht="15.75" x14ac:dyDescent="0.25">
      <c r="A33" s="68" t="s">
        <v>76</v>
      </c>
      <c r="B33" s="68"/>
      <c r="C33" s="68"/>
      <c r="D33" s="73"/>
      <c r="E33" s="73"/>
      <c r="F33" s="73"/>
      <c r="G33" s="73"/>
      <c r="H33" s="73"/>
      <c r="I33" s="73"/>
      <c r="J33" s="304"/>
    </row>
    <row r="34" spans="1:10" s="15" customFormat="1" ht="15.75" x14ac:dyDescent="0.25">
      <c r="A34" s="68" t="s">
        <v>115</v>
      </c>
      <c r="B34" s="68"/>
      <c r="C34" s="68"/>
      <c r="D34" s="300"/>
      <c r="E34" s="300"/>
      <c r="F34" s="300"/>
      <c r="G34" s="300"/>
      <c r="H34" s="300"/>
      <c r="I34" s="300"/>
      <c r="J34" s="301"/>
    </row>
    <row r="35" spans="1:10" s="15" customFormat="1" ht="3" customHeight="1" x14ac:dyDescent="0.25">
      <c r="A35" s="48"/>
      <c r="B35" s="48"/>
      <c r="C35" s="48"/>
      <c r="D35" s="72"/>
      <c r="E35" s="71"/>
      <c r="F35" s="71"/>
      <c r="G35" s="71"/>
      <c r="H35" s="71"/>
      <c r="I35" s="71"/>
      <c r="J35" s="71"/>
    </row>
    <row r="36" spans="1:10" s="15" customFormat="1" ht="15.75" x14ac:dyDescent="0.25">
      <c r="A36" s="68" t="s">
        <v>20</v>
      </c>
      <c r="B36" s="68"/>
      <c r="C36" s="68"/>
      <c r="D36" s="298"/>
      <c r="E36" s="298"/>
      <c r="F36" s="298"/>
      <c r="G36" s="298"/>
      <c r="H36" s="298"/>
      <c r="I36" s="298"/>
      <c r="J36" s="299"/>
    </row>
    <row r="37" spans="1:10" s="15" customFormat="1" ht="15.75" x14ac:dyDescent="0.25">
      <c r="A37" s="68" t="s">
        <v>78</v>
      </c>
      <c r="B37" s="68"/>
      <c r="C37" s="68"/>
      <c r="D37" s="300"/>
      <c r="E37" s="300"/>
      <c r="F37" s="300"/>
      <c r="G37" s="300"/>
      <c r="H37" s="300"/>
      <c r="I37" s="300"/>
      <c r="J37" s="301"/>
    </row>
    <row r="38" spans="1:10" s="15" customFormat="1" ht="3" customHeight="1" x14ac:dyDescent="0.25">
      <c r="A38" s="48"/>
      <c r="B38" s="48"/>
      <c r="C38" s="48"/>
      <c r="D38" s="71"/>
      <c r="E38" s="71"/>
      <c r="F38" s="71"/>
      <c r="G38" s="71"/>
      <c r="H38" s="71"/>
      <c r="I38" s="71"/>
      <c r="J38" s="71"/>
    </row>
    <row r="39" spans="1:10" s="15" customFormat="1" ht="72" customHeight="1" x14ac:dyDescent="0.25">
      <c r="A39" s="567" t="s">
        <v>79</v>
      </c>
      <c r="B39" s="568"/>
      <c r="C39" s="568"/>
      <c r="D39" s="568"/>
      <c r="E39" s="568"/>
      <c r="F39" s="568"/>
      <c r="G39" s="568"/>
      <c r="H39" s="568"/>
      <c r="I39" s="568"/>
      <c r="J39" s="569"/>
    </row>
    <row r="40" spans="1:10" s="15" customFormat="1" ht="21" customHeight="1" x14ac:dyDescent="0.25">
      <c r="A40" s="570" t="s">
        <v>80</v>
      </c>
      <c r="B40" s="571"/>
      <c r="C40" s="571"/>
      <c r="D40" s="571"/>
      <c r="E40" s="571"/>
      <c r="F40" s="571" t="s">
        <v>81</v>
      </c>
      <c r="G40" s="571"/>
      <c r="H40" s="571"/>
      <c r="I40" s="571"/>
      <c r="J40" s="572"/>
    </row>
    <row r="41" spans="1:10" s="15" customFormat="1" ht="42" customHeight="1" x14ac:dyDescent="0.25">
      <c r="A41" s="305"/>
      <c r="B41" s="306"/>
      <c r="C41" s="306"/>
      <c r="D41" s="306"/>
      <c r="E41" s="307"/>
      <c r="F41" s="305"/>
      <c r="G41" s="306"/>
      <c r="H41" s="306"/>
      <c r="I41" s="306"/>
      <c r="J41" s="307"/>
    </row>
  </sheetData>
  <mergeCells count="12">
    <mergeCell ref="C22:H22"/>
    <mergeCell ref="I22:J23"/>
    <mergeCell ref="C23:H23"/>
    <mergeCell ref="A39:J39"/>
    <mergeCell ref="A40:E40"/>
    <mergeCell ref="F40:J40"/>
    <mergeCell ref="A18:J18"/>
    <mergeCell ref="A19:E19"/>
    <mergeCell ref="F19:J19"/>
    <mergeCell ref="C1:H1"/>
    <mergeCell ref="C2:H2"/>
    <mergeCell ref="I1:J2"/>
  </mergeCells>
  <pageMargins left="0.39370078740157483" right="0.39370078740157483" top="0.39370078740157483" bottom="0.39370078740157483" header="0" footer="0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O35"/>
  <sheetViews>
    <sheetView zoomScaleNormal="100" workbookViewId="0">
      <selection activeCell="A10" sqref="A10"/>
    </sheetView>
  </sheetViews>
  <sheetFormatPr defaultRowHeight="15" x14ac:dyDescent="0.25"/>
  <cols>
    <col min="1" max="2" width="5.7109375" customWidth="1"/>
    <col min="3" max="3" width="20.7109375" customWidth="1"/>
    <col min="4" max="4" width="7.7109375" customWidth="1"/>
    <col min="5" max="5" width="20.7109375" customWidth="1"/>
    <col min="6" max="6" width="10.7109375" customWidth="1"/>
    <col min="7" max="7" width="18.7109375" customWidth="1"/>
    <col min="8" max="8" width="18.7109375" style="15" customWidth="1"/>
    <col min="9" max="9" width="15.7109375" customWidth="1"/>
    <col min="10" max="10" width="10.7109375" customWidth="1"/>
    <col min="11" max="11" width="18.7109375" customWidth="1"/>
    <col min="12" max="12" width="18.7109375" style="15" customWidth="1"/>
    <col min="13" max="13" width="15.7109375" customWidth="1"/>
    <col min="14" max="14" width="10.7109375" customWidth="1"/>
  </cols>
  <sheetData>
    <row r="1" spans="1:15" s="15" customFormat="1" ht="21" customHeight="1" x14ac:dyDescent="0.25">
      <c r="A1" s="101"/>
      <c r="B1" s="101"/>
      <c r="C1" s="101"/>
      <c r="D1" s="573" t="str">
        <f>НазваниеПолное</f>
        <v>Ралли "Западные ворота - 2017"</v>
      </c>
      <c r="E1" s="573"/>
      <c r="F1" s="573"/>
      <c r="G1" s="573"/>
      <c r="H1" s="573"/>
      <c r="I1" s="573"/>
      <c r="J1" s="573"/>
      <c r="K1" s="573"/>
      <c r="L1" s="573"/>
      <c r="M1" s="317"/>
      <c r="N1" s="318"/>
    </row>
    <row r="2" spans="1:15" s="15" customFormat="1" ht="21" customHeight="1" x14ac:dyDescent="0.25">
      <c r="A2" s="101"/>
      <c r="B2" s="101"/>
      <c r="C2" s="101"/>
      <c r="D2" s="573" t="s">
        <v>320</v>
      </c>
      <c r="E2" s="573"/>
      <c r="F2" s="573"/>
      <c r="G2" s="573"/>
      <c r="H2" s="573"/>
      <c r="I2" s="573"/>
      <c r="J2" s="573"/>
      <c r="K2" s="573"/>
      <c r="L2" s="573"/>
      <c r="M2" s="419"/>
      <c r="N2" s="420"/>
    </row>
    <row r="3" spans="1:15" ht="60" customHeight="1" x14ac:dyDescent="0.25">
      <c r="A3" s="579" t="s">
        <v>215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1"/>
      <c r="O3" s="15"/>
    </row>
    <row r="4" spans="1:15" ht="30" customHeight="1" x14ac:dyDescent="0.25">
      <c r="A4" s="150" t="s">
        <v>154</v>
      </c>
      <c r="B4" s="151" t="s">
        <v>157</v>
      </c>
      <c r="C4" s="151" t="s">
        <v>177</v>
      </c>
      <c r="D4" s="151" t="s">
        <v>23</v>
      </c>
      <c r="E4" s="151" t="s">
        <v>153</v>
      </c>
      <c r="F4" s="151" t="s">
        <v>78</v>
      </c>
      <c r="G4" s="151" t="s">
        <v>155</v>
      </c>
      <c r="H4" s="151" t="s">
        <v>13</v>
      </c>
      <c r="I4" s="151" t="s">
        <v>76</v>
      </c>
      <c r="J4" s="151" t="s">
        <v>115</v>
      </c>
      <c r="K4" s="151" t="s">
        <v>156</v>
      </c>
      <c r="L4" s="151" t="s">
        <v>13</v>
      </c>
      <c r="M4" s="151" t="s">
        <v>76</v>
      </c>
      <c r="N4" s="152" t="s">
        <v>115</v>
      </c>
      <c r="O4" s="15"/>
    </row>
    <row r="5" spans="1:15" ht="20.100000000000001" customHeight="1" x14ac:dyDescent="0.25">
      <c r="A5" s="308">
        <v>1</v>
      </c>
      <c r="B5" s="96">
        <v>1</v>
      </c>
      <c r="C5" s="97" t="s">
        <v>431</v>
      </c>
      <c r="D5" s="96" t="s">
        <v>30</v>
      </c>
      <c r="E5" s="97" t="s">
        <v>42</v>
      </c>
      <c r="F5" s="96" t="s">
        <v>432</v>
      </c>
      <c r="G5" s="97" t="s">
        <v>84</v>
      </c>
      <c r="H5" s="97"/>
      <c r="I5" s="98" t="s">
        <v>433</v>
      </c>
      <c r="J5" s="97" t="s">
        <v>7</v>
      </c>
      <c r="K5" s="97" t="s">
        <v>85</v>
      </c>
      <c r="L5" s="97"/>
      <c r="M5" s="98" t="s">
        <v>434</v>
      </c>
      <c r="N5" s="309" t="s">
        <v>7</v>
      </c>
      <c r="O5" s="15"/>
    </row>
    <row r="6" spans="1:15" ht="20.100000000000001" customHeight="1" x14ac:dyDescent="0.25">
      <c r="A6" s="310">
        <f>1+A5</f>
        <v>2</v>
      </c>
      <c r="B6" s="93">
        <v>2</v>
      </c>
      <c r="C6" s="94" t="s">
        <v>167</v>
      </c>
      <c r="D6" s="93" t="s">
        <v>435</v>
      </c>
      <c r="E6" s="94" t="s">
        <v>436</v>
      </c>
      <c r="F6" s="93" t="s">
        <v>437</v>
      </c>
      <c r="G6" s="94" t="s">
        <v>169</v>
      </c>
      <c r="H6" s="94"/>
      <c r="I6" s="95">
        <v>89206678188</v>
      </c>
      <c r="J6" s="94" t="s">
        <v>7</v>
      </c>
      <c r="K6" s="94" t="s">
        <v>171</v>
      </c>
      <c r="L6" s="94"/>
      <c r="M6" s="95">
        <v>89525339977</v>
      </c>
      <c r="N6" s="311" t="s">
        <v>7</v>
      </c>
      <c r="O6" s="15"/>
    </row>
    <row r="7" spans="1:15" ht="20.100000000000001" customHeight="1" x14ac:dyDescent="0.25">
      <c r="A7" s="310">
        <f t="shared" ref="A7:A35" si="0">1+A6</f>
        <v>3</v>
      </c>
      <c r="B7" s="93">
        <v>3</v>
      </c>
      <c r="C7" s="94" t="s">
        <v>144</v>
      </c>
      <c r="D7" s="93" t="s">
        <v>31</v>
      </c>
      <c r="E7" s="94" t="s">
        <v>128</v>
      </c>
      <c r="F7" s="93" t="s">
        <v>438</v>
      </c>
      <c r="G7" s="94" t="s">
        <v>145</v>
      </c>
      <c r="H7" s="94"/>
      <c r="I7" s="95" t="s">
        <v>439</v>
      </c>
      <c r="J7" s="94" t="s">
        <v>7</v>
      </c>
      <c r="K7" s="94" t="s">
        <v>146</v>
      </c>
      <c r="L7" s="94"/>
      <c r="M7" s="95" t="s">
        <v>440</v>
      </c>
      <c r="N7" s="311" t="s">
        <v>7</v>
      </c>
      <c r="O7" s="15"/>
    </row>
    <row r="8" spans="1:15" ht="20.100000000000001" customHeight="1" x14ac:dyDescent="0.25">
      <c r="A8" s="310">
        <f t="shared" si="0"/>
        <v>4</v>
      </c>
      <c r="B8" s="93">
        <v>4</v>
      </c>
      <c r="C8" s="94" t="s">
        <v>441</v>
      </c>
      <c r="D8" s="93" t="s">
        <v>31</v>
      </c>
      <c r="E8" s="94" t="s">
        <v>141</v>
      </c>
      <c r="F8" s="93" t="s">
        <v>442</v>
      </c>
      <c r="G8" s="94" t="s">
        <v>142</v>
      </c>
      <c r="H8" s="94"/>
      <c r="I8" s="95">
        <v>89529960799</v>
      </c>
      <c r="J8" s="94" t="s">
        <v>7</v>
      </c>
      <c r="K8" s="94" t="s">
        <v>143</v>
      </c>
      <c r="L8" s="94"/>
      <c r="M8" s="95">
        <v>89043696535</v>
      </c>
      <c r="N8" s="311" t="s">
        <v>7</v>
      </c>
      <c r="O8" s="15"/>
    </row>
    <row r="9" spans="1:15" ht="20.100000000000001" customHeight="1" x14ac:dyDescent="0.25">
      <c r="A9" s="310">
        <f t="shared" si="0"/>
        <v>5</v>
      </c>
      <c r="B9" s="93">
        <v>5</v>
      </c>
      <c r="C9" s="94" t="s">
        <v>443</v>
      </c>
      <c r="D9" s="93" t="s">
        <v>31</v>
      </c>
      <c r="E9" s="94" t="s">
        <v>444</v>
      </c>
      <c r="F9" s="93" t="s">
        <v>445</v>
      </c>
      <c r="G9" s="94" t="s">
        <v>446</v>
      </c>
      <c r="H9" s="94"/>
      <c r="I9" s="95">
        <v>89266146808</v>
      </c>
      <c r="J9" s="94" t="s">
        <v>447</v>
      </c>
      <c r="K9" s="94" t="s">
        <v>448</v>
      </c>
      <c r="L9" s="94"/>
      <c r="M9" s="95">
        <v>89269089517</v>
      </c>
      <c r="N9" s="311" t="s">
        <v>447</v>
      </c>
      <c r="O9" s="15"/>
    </row>
    <row r="10" spans="1:15" ht="20.100000000000001" customHeight="1" x14ac:dyDescent="0.25">
      <c r="A10" s="310">
        <f t="shared" si="0"/>
        <v>6</v>
      </c>
      <c r="B10" s="93">
        <v>6</v>
      </c>
      <c r="C10" s="94" t="s">
        <v>449</v>
      </c>
      <c r="D10" s="93" t="s">
        <v>31</v>
      </c>
      <c r="E10" s="94" t="s">
        <v>450</v>
      </c>
      <c r="F10" s="93" t="s">
        <v>451</v>
      </c>
      <c r="G10" s="94" t="s">
        <v>164</v>
      </c>
      <c r="H10" s="94"/>
      <c r="I10" s="95">
        <v>89529955249</v>
      </c>
      <c r="J10" s="94" t="s">
        <v>7</v>
      </c>
      <c r="K10" s="94" t="s">
        <v>452</v>
      </c>
      <c r="L10" s="94"/>
      <c r="M10" s="95">
        <v>89517110092</v>
      </c>
      <c r="N10" s="311" t="s">
        <v>7</v>
      </c>
      <c r="O10" s="15"/>
    </row>
    <row r="11" spans="1:15" ht="20.100000000000001" customHeight="1" x14ac:dyDescent="0.25">
      <c r="A11" s="310">
        <f t="shared" si="0"/>
        <v>7</v>
      </c>
      <c r="B11" s="93">
        <v>7</v>
      </c>
      <c r="C11" s="94" t="s">
        <v>135</v>
      </c>
      <c r="D11" s="93" t="s">
        <v>31</v>
      </c>
      <c r="E11" s="94" t="s">
        <v>453</v>
      </c>
      <c r="F11" s="93" t="s">
        <v>454</v>
      </c>
      <c r="G11" s="94" t="s">
        <v>136</v>
      </c>
      <c r="H11" s="94"/>
      <c r="I11" s="95">
        <v>79516922612</v>
      </c>
      <c r="J11" s="94" t="s">
        <v>7</v>
      </c>
      <c r="K11" s="94" t="s">
        <v>82</v>
      </c>
      <c r="L11" s="94"/>
      <c r="M11" s="95">
        <v>79107868092</v>
      </c>
      <c r="N11" s="311" t="s">
        <v>7</v>
      </c>
      <c r="O11" s="15"/>
    </row>
    <row r="12" spans="1:15" ht="20.100000000000001" customHeight="1" x14ac:dyDescent="0.25">
      <c r="A12" s="310">
        <f t="shared" si="0"/>
        <v>8</v>
      </c>
      <c r="B12" s="93">
        <v>8</v>
      </c>
      <c r="C12" s="94" t="s">
        <v>455</v>
      </c>
      <c r="D12" s="93" t="s">
        <v>31</v>
      </c>
      <c r="E12" s="94" t="s">
        <v>456</v>
      </c>
      <c r="F12" s="93" t="s">
        <v>457</v>
      </c>
      <c r="G12" s="94" t="s">
        <v>458</v>
      </c>
      <c r="H12" s="94"/>
      <c r="I12" s="95" t="s">
        <v>459</v>
      </c>
      <c r="J12" s="94" t="s">
        <v>447</v>
      </c>
      <c r="K12" s="94" t="s">
        <v>460</v>
      </c>
      <c r="L12" s="94"/>
      <c r="M12" s="95">
        <v>89032255884</v>
      </c>
      <c r="N12" s="311" t="s">
        <v>447</v>
      </c>
      <c r="O12" s="15"/>
    </row>
    <row r="13" spans="1:15" ht="20.100000000000001" customHeight="1" x14ac:dyDescent="0.25">
      <c r="A13" s="310">
        <f t="shared" si="0"/>
        <v>9</v>
      </c>
      <c r="B13" s="93">
        <v>9</v>
      </c>
      <c r="C13" s="94" t="s">
        <v>461</v>
      </c>
      <c r="D13" s="93" t="s">
        <v>31</v>
      </c>
      <c r="E13" s="94" t="s">
        <v>178</v>
      </c>
      <c r="F13" s="93" t="s">
        <v>462</v>
      </c>
      <c r="G13" s="94" t="s">
        <v>463</v>
      </c>
      <c r="H13" s="94"/>
      <c r="I13" s="95">
        <v>79043663333</v>
      </c>
      <c r="J13" s="94" t="s">
        <v>7</v>
      </c>
      <c r="K13" s="94" t="s">
        <v>464</v>
      </c>
      <c r="L13" s="94"/>
      <c r="M13" s="95">
        <v>79621988845</v>
      </c>
      <c r="N13" s="311" t="s">
        <v>7</v>
      </c>
      <c r="O13" s="15"/>
    </row>
    <row r="14" spans="1:15" ht="20.100000000000001" customHeight="1" x14ac:dyDescent="0.25">
      <c r="A14" s="310">
        <f t="shared" si="0"/>
        <v>10</v>
      </c>
      <c r="B14" s="93">
        <v>10</v>
      </c>
      <c r="C14" s="94"/>
      <c r="D14" s="93" t="s">
        <v>31</v>
      </c>
      <c r="E14" s="94" t="s">
        <v>132</v>
      </c>
      <c r="F14" s="93" t="s">
        <v>465</v>
      </c>
      <c r="G14" s="94" t="s">
        <v>133</v>
      </c>
      <c r="H14" s="94"/>
      <c r="I14" s="95">
        <v>89107143236</v>
      </c>
      <c r="J14" s="94" t="s">
        <v>7</v>
      </c>
      <c r="K14" s="94" t="s">
        <v>134</v>
      </c>
      <c r="L14" s="94"/>
      <c r="M14" s="95">
        <v>89107203640</v>
      </c>
      <c r="N14" s="311" t="s">
        <v>7</v>
      </c>
      <c r="O14" s="15"/>
    </row>
    <row r="15" spans="1:15" ht="20.100000000000001" customHeight="1" x14ac:dyDescent="0.25">
      <c r="A15" s="310">
        <f t="shared" si="0"/>
        <v>11</v>
      </c>
      <c r="B15" s="93">
        <v>11</v>
      </c>
      <c r="C15" s="94" t="s">
        <v>466</v>
      </c>
      <c r="D15" s="93" t="s">
        <v>31</v>
      </c>
      <c r="E15" s="94" t="s">
        <v>467</v>
      </c>
      <c r="F15" s="93" t="s">
        <v>468</v>
      </c>
      <c r="G15" s="94" t="s">
        <v>151</v>
      </c>
      <c r="H15" s="94"/>
      <c r="I15" s="95">
        <v>79051635365</v>
      </c>
      <c r="J15" s="94" t="s">
        <v>7</v>
      </c>
      <c r="K15" s="94" t="s">
        <v>152</v>
      </c>
      <c r="L15" s="94"/>
      <c r="M15" s="95">
        <v>79002200730</v>
      </c>
      <c r="N15" s="311" t="s">
        <v>7</v>
      </c>
      <c r="O15" s="15"/>
    </row>
    <row r="16" spans="1:15" ht="20.100000000000001" customHeight="1" x14ac:dyDescent="0.25">
      <c r="A16" s="310">
        <f t="shared" si="0"/>
        <v>12</v>
      </c>
      <c r="B16" s="93">
        <v>12</v>
      </c>
      <c r="C16" s="94" t="s">
        <v>469</v>
      </c>
      <c r="D16" s="93" t="s">
        <v>31</v>
      </c>
      <c r="E16" s="94" t="s">
        <v>470</v>
      </c>
      <c r="F16" s="93" t="s">
        <v>471</v>
      </c>
      <c r="G16" s="94" t="s">
        <v>472</v>
      </c>
      <c r="H16" s="94"/>
      <c r="I16" s="95">
        <v>79056986099</v>
      </c>
      <c r="J16" s="94" t="s">
        <v>7</v>
      </c>
      <c r="K16" s="94" t="s">
        <v>473</v>
      </c>
      <c r="L16" s="94"/>
      <c r="M16" s="95">
        <v>79055032332</v>
      </c>
      <c r="N16" s="311" t="s">
        <v>7</v>
      </c>
      <c r="O16" s="15"/>
    </row>
    <row r="17" spans="1:15" ht="20.100000000000001" customHeight="1" x14ac:dyDescent="0.25">
      <c r="A17" s="310">
        <f t="shared" si="0"/>
        <v>13</v>
      </c>
      <c r="B17" s="93">
        <v>13</v>
      </c>
      <c r="C17" s="94" t="s">
        <v>474</v>
      </c>
      <c r="D17" s="93" t="s">
        <v>31</v>
      </c>
      <c r="E17" s="94" t="s">
        <v>475</v>
      </c>
      <c r="F17" s="93" t="s">
        <v>476</v>
      </c>
      <c r="G17" s="94" t="s">
        <v>477</v>
      </c>
      <c r="H17" s="94"/>
      <c r="I17" s="95">
        <v>79516903136</v>
      </c>
      <c r="J17" s="94" t="s">
        <v>7</v>
      </c>
      <c r="K17" s="94" t="s">
        <v>478</v>
      </c>
      <c r="L17" s="94"/>
      <c r="M17" s="95">
        <v>567006</v>
      </c>
      <c r="N17" s="311" t="s">
        <v>7</v>
      </c>
      <c r="O17" s="15"/>
    </row>
    <row r="18" spans="1:15" ht="20.100000000000001" customHeight="1" x14ac:dyDescent="0.25">
      <c r="A18" s="310">
        <f t="shared" si="0"/>
        <v>14</v>
      </c>
      <c r="B18" s="93">
        <v>14</v>
      </c>
      <c r="C18" s="94" t="s">
        <v>479</v>
      </c>
      <c r="D18" s="93" t="s">
        <v>435</v>
      </c>
      <c r="E18" s="94" t="s">
        <v>480</v>
      </c>
      <c r="F18" s="93" t="s">
        <v>481</v>
      </c>
      <c r="G18" s="94" t="s">
        <v>174</v>
      </c>
      <c r="H18" s="94"/>
      <c r="I18" s="95">
        <v>89507076820</v>
      </c>
      <c r="J18" s="94" t="s">
        <v>7</v>
      </c>
      <c r="K18" s="94" t="s">
        <v>175</v>
      </c>
      <c r="L18" s="94"/>
      <c r="M18" s="95">
        <v>89605863088</v>
      </c>
      <c r="N18" s="311" t="s">
        <v>7</v>
      </c>
      <c r="O18" s="15"/>
    </row>
    <row r="19" spans="1:15" ht="20.100000000000001" customHeight="1" x14ac:dyDescent="0.25">
      <c r="A19" s="310">
        <f t="shared" si="0"/>
        <v>15</v>
      </c>
      <c r="B19" s="93">
        <v>15</v>
      </c>
      <c r="C19" s="94" t="s">
        <v>482</v>
      </c>
      <c r="D19" s="93" t="s">
        <v>435</v>
      </c>
      <c r="E19" s="94" t="s">
        <v>483</v>
      </c>
      <c r="F19" s="93" t="s">
        <v>484</v>
      </c>
      <c r="G19" s="94" t="s">
        <v>485</v>
      </c>
      <c r="H19" s="94"/>
      <c r="I19" s="95">
        <v>9525398961</v>
      </c>
      <c r="J19" s="94" t="s">
        <v>7</v>
      </c>
      <c r="K19" s="94" t="s">
        <v>173</v>
      </c>
      <c r="L19" s="94"/>
      <c r="M19" s="95">
        <v>9997652607</v>
      </c>
      <c r="N19" s="311" t="s">
        <v>7</v>
      </c>
      <c r="O19" s="15"/>
    </row>
    <row r="20" spans="1:15" ht="20.100000000000001" customHeight="1" x14ac:dyDescent="0.25">
      <c r="A20" s="310">
        <f t="shared" si="0"/>
        <v>16</v>
      </c>
      <c r="B20" s="93">
        <v>16</v>
      </c>
      <c r="C20" s="94" t="s">
        <v>168</v>
      </c>
      <c r="D20" s="93" t="s">
        <v>435</v>
      </c>
      <c r="E20" s="94" t="s">
        <v>486</v>
      </c>
      <c r="F20" s="93" t="s">
        <v>487</v>
      </c>
      <c r="G20" s="94" t="s">
        <v>170</v>
      </c>
      <c r="H20" s="94"/>
      <c r="I20" s="95">
        <v>89507075546</v>
      </c>
      <c r="J20" s="94" t="s">
        <v>7</v>
      </c>
      <c r="K20" s="94" t="s">
        <v>172</v>
      </c>
      <c r="L20" s="94"/>
      <c r="M20" s="95">
        <v>89556568530</v>
      </c>
      <c r="N20" s="311" t="s">
        <v>7</v>
      </c>
      <c r="O20" s="15"/>
    </row>
    <row r="21" spans="1:15" ht="20.100000000000001" customHeight="1" x14ac:dyDescent="0.25">
      <c r="A21" s="310">
        <f t="shared" si="0"/>
        <v>17</v>
      </c>
      <c r="B21" s="93">
        <v>17</v>
      </c>
      <c r="C21" s="94" t="s">
        <v>48</v>
      </c>
      <c r="D21" s="93" t="s">
        <v>31</v>
      </c>
      <c r="E21" s="94" t="s">
        <v>488</v>
      </c>
      <c r="F21" s="93" t="s">
        <v>489</v>
      </c>
      <c r="G21" s="94" t="s">
        <v>49</v>
      </c>
      <c r="H21" s="94"/>
      <c r="I21" s="95">
        <v>89082804540</v>
      </c>
      <c r="J21" s="94" t="s">
        <v>7</v>
      </c>
      <c r="K21" s="94" t="s">
        <v>140</v>
      </c>
      <c r="L21" s="94"/>
      <c r="M21" s="95">
        <v>89517002210</v>
      </c>
      <c r="N21" s="311" t="s">
        <v>490</v>
      </c>
      <c r="O21" s="15"/>
    </row>
    <row r="22" spans="1:15" ht="20.100000000000001" customHeight="1" x14ac:dyDescent="0.25">
      <c r="A22" s="310">
        <f t="shared" si="0"/>
        <v>18</v>
      </c>
      <c r="B22" s="93">
        <v>18</v>
      </c>
      <c r="C22" s="94" t="s">
        <v>491</v>
      </c>
      <c r="D22" s="93" t="s">
        <v>435</v>
      </c>
      <c r="E22" s="94" t="s">
        <v>492</v>
      </c>
      <c r="F22" s="93" t="s">
        <v>493</v>
      </c>
      <c r="G22" s="94" t="s">
        <v>494</v>
      </c>
      <c r="H22" s="94"/>
      <c r="I22" s="95">
        <v>89507076699</v>
      </c>
      <c r="J22" s="94" t="s">
        <v>7</v>
      </c>
      <c r="K22" s="94" t="s">
        <v>176</v>
      </c>
      <c r="L22" s="94"/>
      <c r="M22" s="95">
        <v>89506063520</v>
      </c>
      <c r="N22" s="311" t="s">
        <v>7</v>
      </c>
      <c r="O22" s="15"/>
    </row>
    <row r="23" spans="1:15" ht="20.100000000000001" customHeight="1" x14ac:dyDescent="0.25">
      <c r="A23" s="310">
        <f t="shared" si="0"/>
        <v>19</v>
      </c>
      <c r="B23" s="93">
        <v>19</v>
      </c>
      <c r="C23" s="94" t="s">
        <v>127</v>
      </c>
      <c r="D23" s="93" t="s">
        <v>30</v>
      </c>
      <c r="E23" s="94" t="s">
        <v>128</v>
      </c>
      <c r="F23" s="93" t="s">
        <v>495</v>
      </c>
      <c r="G23" s="94" t="s">
        <v>86</v>
      </c>
      <c r="H23" s="94"/>
      <c r="I23" s="95">
        <v>89101121716</v>
      </c>
      <c r="J23" s="94" t="s">
        <v>7</v>
      </c>
      <c r="K23" s="94" t="s">
        <v>87</v>
      </c>
      <c r="L23" s="94"/>
      <c r="M23" s="95">
        <v>89107220786</v>
      </c>
      <c r="N23" s="311" t="s">
        <v>7</v>
      </c>
      <c r="O23" s="15"/>
    </row>
    <row r="24" spans="1:15" ht="20.100000000000001" customHeight="1" x14ac:dyDescent="0.25">
      <c r="A24" s="310">
        <f t="shared" si="0"/>
        <v>20</v>
      </c>
      <c r="B24" s="93">
        <v>20</v>
      </c>
      <c r="C24" s="94" t="s">
        <v>138</v>
      </c>
      <c r="D24" s="93" t="s">
        <v>30</v>
      </c>
      <c r="E24" s="94" t="s">
        <v>496</v>
      </c>
      <c r="F24" s="93" t="s">
        <v>497</v>
      </c>
      <c r="G24" s="94" t="s">
        <v>44</v>
      </c>
      <c r="H24" s="94"/>
      <c r="I24" s="95">
        <v>89082812929</v>
      </c>
      <c r="J24" s="94" t="s">
        <v>7</v>
      </c>
      <c r="K24" s="94" t="s">
        <v>139</v>
      </c>
      <c r="L24" s="94"/>
      <c r="M24" s="95">
        <v>79107690162</v>
      </c>
      <c r="N24" s="311" t="s">
        <v>7</v>
      </c>
      <c r="O24" s="15"/>
    </row>
    <row r="25" spans="1:15" s="15" customFormat="1" ht="20.100000000000001" customHeight="1" x14ac:dyDescent="0.25">
      <c r="A25" s="310">
        <f t="shared" si="0"/>
        <v>21</v>
      </c>
      <c r="B25" s="93">
        <v>21</v>
      </c>
      <c r="C25" s="94" t="s">
        <v>137</v>
      </c>
      <c r="D25" s="93" t="s">
        <v>30</v>
      </c>
      <c r="E25" s="94" t="s">
        <v>498</v>
      </c>
      <c r="F25" s="93" t="s">
        <v>499</v>
      </c>
      <c r="G25" s="94" t="s">
        <v>45</v>
      </c>
      <c r="H25" s="94"/>
      <c r="I25" s="95">
        <v>79107185505</v>
      </c>
      <c r="J25" s="94" t="s">
        <v>7</v>
      </c>
      <c r="K25" s="94" t="s">
        <v>46</v>
      </c>
      <c r="L25" s="94"/>
      <c r="M25" s="95">
        <v>79107835711</v>
      </c>
      <c r="N25" s="311" t="s">
        <v>7</v>
      </c>
    </row>
    <row r="26" spans="1:15" s="15" customFormat="1" ht="20.100000000000001" customHeight="1" x14ac:dyDescent="0.25">
      <c r="A26" s="310">
        <f t="shared" si="0"/>
        <v>22</v>
      </c>
      <c r="B26" s="93">
        <v>22</v>
      </c>
      <c r="C26" s="94" t="s">
        <v>161</v>
      </c>
      <c r="D26" s="93" t="s">
        <v>30</v>
      </c>
      <c r="E26" s="94" t="s">
        <v>500</v>
      </c>
      <c r="F26" s="93" t="s">
        <v>501</v>
      </c>
      <c r="G26" s="94" t="s">
        <v>162</v>
      </c>
      <c r="H26" s="94"/>
      <c r="I26" s="95" t="s">
        <v>502</v>
      </c>
      <c r="J26" s="94" t="s">
        <v>503</v>
      </c>
      <c r="K26" s="94" t="s">
        <v>163</v>
      </c>
      <c r="L26" s="94"/>
      <c r="M26" s="95" t="s">
        <v>504</v>
      </c>
      <c r="N26" s="311" t="s">
        <v>505</v>
      </c>
    </row>
    <row r="27" spans="1:15" s="15" customFormat="1" ht="20.100000000000001" customHeight="1" x14ac:dyDescent="0.25">
      <c r="A27" s="310">
        <f t="shared" si="0"/>
        <v>23</v>
      </c>
      <c r="B27" s="93">
        <v>23</v>
      </c>
      <c r="C27" s="94" t="s">
        <v>129</v>
      </c>
      <c r="D27" s="93" t="s">
        <v>30</v>
      </c>
      <c r="E27" s="94" t="s">
        <v>506</v>
      </c>
      <c r="F27" s="93" t="s">
        <v>507</v>
      </c>
      <c r="G27" s="94" t="s">
        <v>130</v>
      </c>
      <c r="H27" s="94"/>
      <c r="I27" s="95">
        <v>89203030904</v>
      </c>
      <c r="J27" s="94" t="s">
        <v>7</v>
      </c>
      <c r="K27" s="94" t="s">
        <v>131</v>
      </c>
      <c r="L27" s="94"/>
      <c r="M27" s="95">
        <v>89525386885</v>
      </c>
      <c r="N27" s="311" t="s">
        <v>7</v>
      </c>
    </row>
    <row r="28" spans="1:15" s="15" customFormat="1" ht="20.100000000000001" customHeight="1" x14ac:dyDescent="0.25">
      <c r="A28" s="310">
        <f t="shared" si="0"/>
        <v>24</v>
      </c>
      <c r="B28" s="93">
        <v>24</v>
      </c>
      <c r="C28" s="94" t="s">
        <v>508</v>
      </c>
      <c r="D28" s="93" t="s">
        <v>30</v>
      </c>
      <c r="E28" s="94" t="s">
        <v>158</v>
      </c>
      <c r="F28" s="93" t="s">
        <v>509</v>
      </c>
      <c r="G28" s="94" t="s">
        <v>159</v>
      </c>
      <c r="H28" s="94"/>
      <c r="I28" s="95">
        <v>89166974046</v>
      </c>
      <c r="J28" s="94" t="s">
        <v>447</v>
      </c>
      <c r="K28" s="94" t="s">
        <v>160</v>
      </c>
      <c r="L28" s="94"/>
      <c r="M28" s="95">
        <v>89261355716</v>
      </c>
      <c r="N28" s="311" t="s">
        <v>447</v>
      </c>
    </row>
    <row r="29" spans="1:15" s="15" customFormat="1" ht="20.100000000000001" customHeight="1" x14ac:dyDescent="0.25">
      <c r="A29" s="310">
        <f t="shared" si="0"/>
        <v>25</v>
      </c>
      <c r="B29" s="93">
        <v>25</v>
      </c>
      <c r="C29" s="94" t="s">
        <v>510</v>
      </c>
      <c r="D29" s="93" t="s">
        <v>30</v>
      </c>
      <c r="E29" s="94" t="s">
        <v>511</v>
      </c>
      <c r="F29" s="93"/>
      <c r="G29" s="94" t="s">
        <v>512</v>
      </c>
      <c r="H29" s="94"/>
      <c r="I29" s="95">
        <v>79161254183</v>
      </c>
      <c r="J29" s="94" t="s">
        <v>447</v>
      </c>
      <c r="K29" s="94" t="s">
        <v>513</v>
      </c>
      <c r="L29" s="94"/>
      <c r="M29" s="95">
        <v>79163173551</v>
      </c>
      <c r="N29" s="311" t="s">
        <v>447</v>
      </c>
    </row>
    <row r="30" spans="1:15" s="15" customFormat="1" ht="20.100000000000001" customHeight="1" x14ac:dyDescent="0.25">
      <c r="A30" s="310">
        <f t="shared" si="0"/>
        <v>26</v>
      </c>
      <c r="B30" s="93">
        <v>26</v>
      </c>
      <c r="C30" s="94" t="s">
        <v>514</v>
      </c>
      <c r="D30" s="93" t="s">
        <v>30</v>
      </c>
      <c r="E30" s="94" t="s">
        <v>515</v>
      </c>
      <c r="F30" s="93" t="s">
        <v>516</v>
      </c>
      <c r="G30" s="94" t="s">
        <v>165</v>
      </c>
      <c r="H30" s="94"/>
      <c r="I30" s="95">
        <v>79263755689</v>
      </c>
      <c r="J30" s="94" t="s">
        <v>447</v>
      </c>
      <c r="K30" s="94" t="s">
        <v>166</v>
      </c>
      <c r="L30" s="94"/>
      <c r="M30" s="95">
        <v>79166420901</v>
      </c>
      <c r="N30" s="311" t="s">
        <v>447</v>
      </c>
    </row>
    <row r="31" spans="1:15" s="15" customFormat="1" ht="20.100000000000001" customHeight="1" x14ac:dyDescent="0.25">
      <c r="A31" s="310">
        <f t="shared" si="0"/>
        <v>27</v>
      </c>
      <c r="B31" s="93">
        <v>27</v>
      </c>
      <c r="C31" s="94" t="s">
        <v>517</v>
      </c>
      <c r="D31" s="93" t="s">
        <v>30</v>
      </c>
      <c r="E31" s="94" t="s">
        <v>518</v>
      </c>
      <c r="F31" s="93" t="s">
        <v>519</v>
      </c>
      <c r="G31" s="94" t="s">
        <v>520</v>
      </c>
      <c r="H31" s="94"/>
      <c r="I31" s="95">
        <v>79099060900</v>
      </c>
      <c r="J31" s="94" t="s">
        <v>447</v>
      </c>
      <c r="K31" s="94" t="s">
        <v>521</v>
      </c>
      <c r="L31" s="94"/>
      <c r="M31" s="95">
        <v>79099060900</v>
      </c>
      <c r="N31" s="311" t="s">
        <v>447</v>
      </c>
    </row>
    <row r="32" spans="1:15" s="15" customFormat="1" ht="20.100000000000001" customHeight="1" x14ac:dyDescent="0.25">
      <c r="A32" s="310">
        <f t="shared" si="0"/>
        <v>28</v>
      </c>
      <c r="B32" s="93">
        <v>28</v>
      </c>
      <c r="C32" s="94" t="s">
        <v>147</v>
      </c>
      <c r="D32" s="93" t="s">
        <v>30</v>
      </c>
      <c r="E32" s="94" t="s">
        <v>522</v>
      </c>
      <c r="F32" s="93" t="s">
        <v>523</v>
      </c>
      <c r="G32" s="94" t="s">
        <v>148</v>
      </c>
      <c r="H32" s="94"/>
      <c r="I32" s="95">
        <v>635577</v>
      </c>
      <c r="J32" s="94" t="s">
        <v>7</v>
      </c>
      <c r="K32" s="94" t="s">
        <v>149</v>
      </c>
      <c r="L32" s="94"/>
      <c r="M32" s="95">
        <v>9206617131</v>
      </c>
      <c r="N32" s="311" t="s">
        <v>7</v>
      </c>
    </row>
    <row r="33" spans="1:14" s="15" customFormat="1" ht="20.100000000000001" customHeight="1" x14ac:dyDescent="0.25">
      <c r="A33" s="310">
        <f t="shared" si="0"/>
        <v>29</v>
      </c>
      <c r="B33" s="93">
        <v>29</v>
      </c>
      <c r="C33" s="94" t="s">
        <v>524</v>
      </c>
      <c r="D33" s="93" t="s">
        <v>30</v>
      </c>
      <c r="E33" s="94" t="s">
        <v>525</v>
      </c>
      <c r="F33" s="93" t="s">
        <v>526</v>
      </c>
      <c r="G33" s="94" t="s">
        <v>527</v>
      </c>
      <c r="H33" s="94"/>
      <c r="I33" s="95">
        <v>89037829775</v>
      </c>
      <c r="J33" s="94" t="s">
        <v>447</v>
      </c>
      <c r="K33" s="94" t="s">
        <v>528</v>
      </c>
      <c r="L33" s="94"/>
      <c r="M33" s="95">
        <v>89057316536</v>
      </c>
      <c r="N33" s="311" t="s">
        <v>529</v>
      </c>
    </row>
    <row r="34" spans="1:14" s="15" customFormat="1" ht="20.100000000000001" customHeight="1" x14ac:dyDescent="0.25">
      <c r="A34" s="310">
        <f>1+A33</f>
        <v>30</v>
      </c>
      <c r="B34" s="93">
        <v>30</v>
      </c>
      <c r="C34" s="94" t="s">
        <v>530</v>
      </c>
      <c r="D34" s="93" t="s">
        <v>30</v>
      </c>
      <c r="E34" s="94" t="s">
        <v>531</v>
      </c>
      <c r="F34" s="93" t="s">
        <v>532</v>
      </c>
      <c r="G34" s="94" t="s">
        <v>533</v>
      </c>
      <c r="H34" s="94"/>
      <c r="I34" s="95">
        <v>89043632356</v>
      </c>
      <c r="J34" s="94" t="s">
        <v>7</v>
      </c>
      <c r="K34" s="94" t="s">
        <v>83</v>
      </c>
      <c r="L34" s="94"/>
      <c r="M34" s="95">
        <v>89156314160</v>
      </c>
      <c r="N34" s="311" t="s">
        <v>7</v>
      </c>
    </row>
    <row r="35" spans="1:14" s="15" customFormat="1" ht="20.100000000000001" customHeight="1" x14ac:dyDescent="0.25">
      <c r="A35" s="312">
        <f t="shared" si="0"/>
        <v>31</v>
      </c>
      <c r="B35" s="313">
        <v>31</v>
      </c>
      <c r="C35" s="314" t="s">
        <v>535</v>
      </c>
      <c r="D35" s="313" t="s">
        <v>31</v>
      </c>
      <c r="E35" s="314" t="s">
        <v>536</v>
      </c>
      <c r="F35" s="313" t="s">
        <v>559</v>
      </c>
      <c r="G35" s="314" t="s">
        <v>537</v>
      </c>
      <c r="H35" s="314"/>
      <c r="I35" s="315" t="s">
        <v>560</v>
      </c>
      <c r="J35" s="314" t="s">
        <v>7</v>
      </c>
      <c r="K35" s="314" t="s">
        <v>538</v>
      </c>
      <c r="L35" s="314"/>
      <c r="M35" s="315" t="s">
        <v>561</v>
      </c>
      <c r="N35" s="316" t="s">
        <v>7</v>
      </c>
    </row>
  </sheetData>
  <mergeCells count="3">
    <mergeCell ref="A3:N3"/>
    <mergeCell ref="D1:L1"/>
    <mergeCell ref="D2:L2"/>
  </mergeCells>
  <pageMargins left="0.39370078740157483" right="0.39370078740157483" top="0.39370078740157483" bottom="0.78740157480314965" header="0" footer="0.39370078740157483"/>
  <pageSetup paperSize="8" orientation="landscape" horizontalDpi="300" r:id="rId1"/>
  <headerFooter>
    <oddFooter>Страница  &amp;P из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H35"/>
  <sheetViews>
    <sheetView zoomScaleNormal="100" workbookViewId="0">
      <selection activeCell="A5" sqref="A5"/>
    </sheetView>
  </sheetViews>
  <sheetFormatPr defaultRowHeight="15" x14ac:dyDescent="0.25"/>
  <cols>
    <col min="1" max="2" width="9.140625" style="15"/>
    <col min="3" max="3" width="21.5703125" style="15" customWidth="1"/>
    <col min="4" max="6" width="25.7109375" style="15" customWidth="1"/>
    <col min="7" max="7" width="8.7109375" style="15" customWidth="1"/>
    <col min="8" max="8" width="9.140625" style="15" customWidth="1"/>
    <col min="9" max="166" width="9.140625" style="15"/>
    <col min="167" max="167" width="18.7109375" style="15" customWidth="1"/>
    <col min="168" max="168" width="18.140625" style="15" customWidth="1"/>
    <col min="169" max="169" width="8.7109375" style="15" customWidth="1"/>
    <col min="170" max="170" width="9.140625" style="15"/>
    <col min="171" max="171" width="9.140625" style="15" customWidth="1"/>
    <col min="172" max="172" width="27.28515625" style="15" customWidth="1"/>
    <col min="173" max="208" width="9.140625" style="15" customWidth="1"/>
    <col min="209" max="422" width="9.140625" style="15"/>
    <col min="423" max="423" width="18.7109375" style="15" customWidth="1"/>
    <col min="424" max="424" width="18.140625" style="15" customWidth="1"/>
    <col min="425" max="425" width="8.7109375" style="15" customWidth="1"/>
    <col min="426" max="426" width="9.140625" style="15"/>
    <col min="427" max="427" width="9.140625" style="15" customWidth="1"/>
    <col min="428" max="428" width="27.28515625" style="15" customWidth="1"/>
    <col min="429" max="464" width="9.140625" style="15" customWidth="1"/>
    <col min="465" max="678" width="9.140625" style="15"/>
    <col min="679" max="679" width="18.7109375" style="15" customWidth="1"/>
    <col min="680" max="680" width="18.140625" style="15" customWidth="1"/>
    <col min="681" max="681" width="8.7109375" style="15" customWidth="1"/>
    <col min="682" max="682" width="9.140625" style="15"/>
    <col min="683" max="683" width="9.140625" style="15" customWidth="1"/>
    <col min="684" max="684" width="27.28515625" style="15" customWidth="1"/>
    <col min="685" max="720" width="9.140625" style="15" customWidth="1"/>
    <col min="721" max="934" width="9.140625" style="15"/>
    <col min="935" max="935" width="18.7109375" style="15" customWidth="1"/>
    <col min="936" max="936" width="18.140625" style="15" customWidth="1"/>
    <col min="937" max="937" width="8.7109375" style="15" customWidth="1"/>
    <col min="938" max="938" width="9.140625" style="15"/>
    <col min="939" max="939" width="9.140625" style="15" customWidth="1"/>
    <col min="940" max="940" width="27.28515625" style="15" customWidth="1"/>
    <col min="941" max="976" width="9.140625" style="15" customWidth="1"/>
    <col min="977" max="1190" width="9.140625" style="15"/>
    <col min="1191" max="1191" width="18.7109375" style="15" customWidth="1"/>
    <col min="1192" max="1192" width="18.140625" style="15" customWidth="1"/>
    <col min="1193" max="1193" width="8.7109375" style="15" customWidth="1"/>
    <col min="1194" max="1194" width="9.140625" style="15"/>
    <col min="1195" max="1195" width="9.140625" style="15" customWidth="1"/>
    <col min="1196" max="1196" width="27.28515625" style="15" customWidth="1"/>
    <col min="1197" max="1232" width="9.140625" style="15" customWidth="1"/>
    <col min="1233" max="1446" width="9.140625" style="15"/>
    <col min="1447" max="1447" width="18.7109375" style="15" customWidth="1"/>
    <col min="1448" max="1448" width="18.140625" style="15" customWidth="1"/>
    <col min="1449" max="1449" width="8.7109375" style="15" customWidth="1"/>
    <col min="1450" max="1450" width="9.140625" style="15"/>
    <col min="1451" max="1451" width="9.140625" style="15" customWidth="1"/>
    <col min="1452" max="1452" width="27.28515625" style="15" customWidth="1"/>
    <col min="1453" max="1488" width="9.140625" style="15" customWidth="1"/>
    <col min="1489" max="1702" width="9.140625" style="15"/>
    <col min="1703" max="1703" width="18.7109375" style="15" customWidth="1"/>
    <col min="1704" max="1704" width="18.140625" style="15" customWidth="1"/>
    <col min="1705" max="1705" width="8.7109375" style="15" customWidth="1"/>
    <col min="1706" max="1706" width="9.140625" style="15"/>
    <col min="1707" max="1707" width="9.140625" style="15" customWidth="1"/>
    <col min="1708" max="1708" width="27.28515625" style="15" customWidth="1"/>
    <col min="1709" max="1744" width="9.140625" style="15" customWidth="1"/>
    <col min="1745" max="1958" width="9.140625" style="15"/>
    <col min="1959" max="1959" width="18.7109375" style="15" customWidth="1"/>
    <col min="1960" max="1960" width="18.140625" style="15" customWidth="1"/>
    <col min="1961" max="1961" width="8.7109375" style="15" customWidth="1"/>
    <col min="1962" max="1962" width="9.140625" style="15"/>
    <col min="1963" max="1963" width="9.140625" style="15" customWidth="1"/>
    <col min="1964" max="1964" width="27.28515625" style="15" customWidth="1"/>
    <col min="1965" max="2000" width="9.140625" style="15" customWidth="1"/>
    <col min="2001" max="2214" width="9.140625" style="15"/>
    <col min="2215" max="2215" width="18.7109375" style="15" customWidth="1"/>
    <col min="2216" max="2216" width="18.140625" style="15" customWidth="1"/>
    <col min="2217" max="2217" width="8.7109375" style="15" customWidth="1"/>
    <col min="2218" max="2218" width="9.140625" style="15"/>
    <col min="2219" max="2219" width="9.140625" style="15" customWidth="1"/>
    <col min="2220" max="2220" width="27.28515625" style="15" customWidth="1"/>
    <col min="2221" max="2256" width="9.140625" style="15" customWidth="1"/>
    <col min="2257" max="2470" width="9.140625" style="15"/>
    <col min="2471" max="2471" width="18.7109375" style="15" customWidth="1"/>
    <col min="2472" max="2472" width="18.140625" style="15" customWidth="1"/>
    <col min="2473" max="2473" width="8.7109375" style="15" customWidth="1"/>
    <col min="2474" max="2474" width="9.140625" style="15"/>
    <col min="2475" max="2475" width="9.140625" style="15" customWidth="1"/>
    <col min="2476" max="2476" width="27.28515625" style="15" customWidth="1"/>
    <col min="2477" max="2512" width="9.140625" style="15" customWidth="1"/>
    <col min="2513" max="2726" width="9.140625" style="15"/>
    <col min="2727" max="2727" width="18.7109375" style="15" customWidth="1"/>
    <col min="2728" max="2728" width="18.140625" style="15" customWidth="1"/>
    <col min="2729" max="2729" width="8.7109375" style="15" customWidth="1"/>
    <col min="2730" max="2730" width="9.140625" style="15"/>
    <col min="2731" max="2731" width="9.140625" style="15" customWidth="1"/>
    <col min="2732" max="2732" width="27.28515625" style="15" customWidth="1"/>
    <col min="2733" max="2768" width="9.140625" style="15" customWidth="1"/>
    <col min="2769" max="2982" width="9.140625" style="15"/>
    <col min="2983" max="2983" width="18.7109375" style="15" customWidth="1"/>
    <col min="2984" max="2984" width="18.140625" style="15" customWidth="1"/>
    <col min="2985" max="2985" width="8.7109375" style="15" customWidth="1"/>
    <col min="2986" max="2986" width="9.140625" style="15"/>
    <col min="2987" max="2987" width="9.140625" style="15" customWidth="1"/>
    <col min="2988" max="2988" width="27.28515625" style="15" customWidth="1"/>
    <col min="2989" max="3024" width="9.140625" style="15" customWidth="1"/>
    <col min="3025" max="3238" width="9.140625" style="15"/>
    <col min="3239" max="3239" width="18.7109375" style="15" customWidth="1"/>
    <col min="3240" max="3240" width="18.140625" style="15" customWidth="1"/>
    <col min="3241" max="3241" width="8.7109375" style="15" customWidth="1"/>
    <col min="3242" max="3242" width="9.140625" style="15"/>
    <col min="3243" max="3243" width="9.140625" style="15" customWidth="1"/>
    <col min="3244" max="3244" width="27.28515625" style="15" customWidth="1"/>
    <col min="3245" max="3280" width="9.140625" style="15" customWidth="1"/>
    <col min="3281" max="3494" width="9.140625" style="15"/>
    <col min="3495" max="3495" width="18.7109375" style="15" customWidth="1"/>
    <col min="3496" max="3496" width="18.140625" style="15" customWidth="1"/>
    <col min="3497" max="3497" width="8.7109375" style="15" customWidth="1"/>
    <col min="3498" max="3498" width="9.140625" style="15"/>
    <col min="3499" max="3499" width="9.140625" style="15" customWidth="1"/>
    <col min="3500" max="3500" width="27.28515625" style="15" customWidth="1"/>
    <col min="3501" max="3536" width="9.140625" style="15" customWidth="1"/>
    <col min="3537" max="3750" width="9.140625" style="15"/>
    <col min="3751" max="3751" width="18.7109375" style="15" customWidth="1"/>
    <col min="3752" max="3752" width="18.140625" style="15" customWidth="1"/>
    <col min="3753" max="3753" width="8.7109375" style="15" customWidth="1"/>
    <col min="3754" max="3754" width="9.140625" style="15"/>
    <col min="3755" max="3755" width="9.140625" style="15" customWidth="1"/>
    <col min="3756" max="3756" width="27.28515625" style="15" customWidth="1"/>
    <col min="3757" max="3792" width="9.140625" style="15" customWidth="1"/>
    <col min="3793" max="4006" width="9.140625" style="15"/>
    <col min="4007" max="4007" width="18.7109375" style="15" customWidth="1"/>
    <col min="4008" max="4008" width="18.140625" style="15" customWidth="1"/>
    <col min="4009" max="4009" width="8.7109375" style="15" customWidth="1"/>
    <col min="4010" max="4010" width="9.140625" style="15"/>
    <col min="4011" max="4011" width="9.140625" style="15" customWidth="1"/>
    <col min="4012" max="4012" width="27.28515625" style="15" customWidth="1"/>
    <col min="4013" max="4048" width="9.140625" style="15" customWidth="1"/>
    <col min="4049" max="4262" width="9.140625" style="15"/>
    <col min="4263" max="4263" width="18.7109375" style="15" customWidth="1"/>
    <col min="4264" max="4264" width="18.140625" style="15" customWidth="1"/>
    <col min="4265" max="4265" width="8.7109375" style="15" customWidth="1"/>
    <col min="4266" max="4266" width="9.140625" style="15"/>
    <col min="4267" max="4267" width="9.140625" style="15" customWidth="1"/>
    <col min="4268" max="4268" width="27.28515625" style="15" customWidth="1"/>
    <col min="4269" max="4304" width="9.140625" style="15" customWidth="1"/>
    <col min="4305" max="4518" width="9.140625" style="15"/>
    <col min="4519" max="4519" width="18.7109375" style="15" customWidth="1"/>
    <col min="4520" max="4520" width="18.140625" style="15" customWidth="1"/>
    <col min="4521" max="4521" width="8.7109375" style="15" customWidth="1"/>
    <col min="4522" max="4522" width="9.140625" style="15"/>
    <col min="4523" max="4523" width="9.140625" style="15" customWidth="1"/>
    <col min="4524" max="4524" width="27.28515625" style="15" customWidth="1"/>
    <col min="4525" max="4560" width="9.140625" style="15" customWidth="1"/>
    <col min="4561" max="4774" width="9.140625" style="15"/>
    <col min="4775" max="4775" width="18.7109375" style="15" customWidth="1"/>
    <col min="4776" max="4776" width="18.140625" style="15" customWidth="1"/>
    <col min="4777" max="4777" width="8.7109375" style="15" customWidth="1"/>
    <col min="4778" max="4778" width="9.140625" style="15"/>
    <col min="4779" max="4779" width="9.140625" style="15" customWidth="1"/>
    <col min="4780" max="4780" width="27.28515625" style="15" customWidth="1"/>
    <col min="4781" max="4816" width="9.140625" style="15" customWidth="1"/>
    <col min="4817" max="5030" width="9.140625" style="15"/>
    <col min="5031" max="5031" width="18.7109375" style="15" customWidth="1"/>
    <col min="5032" max="5032" width="18.140625" style="15" customWidth="1"/>
    <col min="5033" max="5033" width="8.7109375" style="15" customWidth="1"/>
    <col min="5034" max="5034" width="9.140625" style="15"/>
    <col min="5035" max="5035" width="9.140625" style="15" customWidth="1"/>
    <col min="5036" max="5036" width="27.28515625" style="15" customWidth="1"/>
    <col min="5037" max="5072" width="9.140625" style="15" customWidth="1"/>
    <col min="5073" max="5286" width="9.140625" style="15"/>
    <col min="5287" max="5287" width="18.7109375" style="15" customWidth="1"/>
    <col min="5288" max="5288" width="18.140625" style="15" customWidth="1"/>
    <col min="5289" max="5289" width="8.7109375" style="15" customWidth="1"/>
    <col min="5290" max="5290" width="9.140625" style="15"/>
    <col min="5291" max="5291" width="9.140625" style="15" customWidth="1"/>
    <col min="5292" max="5292" width="27.28515625" style="15" customWidth="1"/>
    <col min="5293" max="5328" width="9.140625" style="15" customWidth="1"/>
    <col min="5329" max="5542" width="9.140625" style="15"/>
    <col min="5543" max="5543" width="18.7109375" style="15" customWidth="1"/>
    <col min="5544" max="5544" width="18.140625" style="15" customWidth="1"/>
    <col min="5545" max="5545" width="8.7109375" style="15" customWidth="1"/>
    <col min="5546" max="5546" width="9.140625" style="15"/>
    <col min="5547" max="5547" width="9.140625" style="15" customWidth="1"/>
    <col min="5548" max="5548" width="27.28515625" style="15" customWidth="1"/>
    <col min="5549" max="5584" width="9.140625" style="15" customWidth="1"/>
    <col min="5585" max="5798" width="9.140625" style="15"/>
    <col min="5799" max="5799" width="18.7109375" style="15" customWidth="1"/>
    <col min="5800" max="5800" width="18.140625" style="15" customWidth="1"/>
    <col min="5801" max="5801" width="8.7109375" style="15" customWidth="1"/>
    <col min="5802" max="5802" width="9.140625" style="15"/>
    <col min="5803" max="5803" width="9.140625" style="15" customWidth="1"/>
    <col min="5804" max="5804" width="27.28515625" style="15" customWidth="1"/>
    <col min="5805" max="5840" width="9.140625" style="15" customWidth="1"/>
    <col min="5841" max="6054" width="9.140625" style="15"/>
    <col min="6055" max="6055" width="18.7109375" style="15" customWidth="1"/>
    <col min="6056" max="6056" width="18.140625" style="15" customWidth="1"/>
    <col min="6057" max="6057" width="8.7109375" style="15" customWidth="1"/>
    <col min="6058" max="6058" width="9.140625" style="15"/>
    <col min="6059" max="6059" width="9.140625" style="15" customWidth="1"/>
    <col min="6060" max="6060" width="27.28515625" style="15" customWidth="1"/>
    <col min="6061" max="6096" width="9.140625" style="15" customWidth="1"/>
    <col min="6097" max="6310" width="9.140625" style="15"/>
    <col min="6311" max="6311" width="18.7109375" style="15" customWidth="1"/>
    <col min="6312" max="6312" width="18.140625" style="15" customWidth="1"/>
    <col min="6313" max="6313" width="8.7109375" style="15" customWidth="1"/>
    <col min="6314" max="6314" width="9.140625" style="15"/>
    <col min="6315" max="6315" width="9.140625" style="15" customWidth="1"/>
    <col min="6316" max="6316" width="27.28515625" style="15" customWidth="1"/>
    <col min="6317" max="6352" width="9.140625" style="15" customWidth="1"/>
    <col min="6353" max="6566" width="9.140625" style="15"/>
    <col min="6567" max="6567" width="18.7109375" style="15" customWidth="1"/>
    <col min="6568" max="6568" width="18.140625" style="15" customWidth="1"/>
    <col min="6569" max="6569" width="8.7109375" style="15" customWidth="1"/>
    <col min="6570" max="6570" width="9.140625" style="15"/>
    <col min="6571" max="6571" width="9.140625" style="15" customWidth="1"/>
    <col min="6572" max="6572" width="27.28515625" style="15" customWidth="1"/>
    <col min="6573" max="6608" width="9.140625" style="15" customWidth="1"/>
    <col min="6609" max="6822" width="9.140625" style="15"/>
    <col min="6823" max="6823" width="18.7109375" style="15" customWidth="1"/>
    <col min="6824" max="6824" width="18.140625" style="15" customWidth="1"/>
    <col min="6825" max="6825" width="8.7109375" style="15" customWidth="1"/>
    <col min="6826" max="6826" width="9.140625" style="15"/>
    <col min="6827" max="6827" width="9.140625" style="15" customWidth="1"/>
    <col min="6828" max="6828" width="27.28515625" style="15" customWidth="1"/>
    <col min="6829" max="6864" width="9.140625" style="15" customWidth="1"/>
    <col min="6865" max="7078" width="9.140625" style="15"/>
    <col min="7079" max="7079" width="18.7109375" style="15" customWidth="1"/>
    <col min="7080" max="7080" width="18.140625" style="15" customWidth="1"/>
    <col min="7081" max="7081" width="8.7109375" style="15" customWidth="1"/>
    <col min="7082" max="7082" width="9.140625" style="15"/>
    <col min="7083" max="7083" width="9.140625" style="15" customWidth="1"/>
    <col min="7084" max="7084" width="27.28515625" style="15" customWidth="1"/>
    <col min="7085" max="7120" width="9.140625" style="15" customWidth="1"/>
    <col min="7121" max="7334" width="9.140625" style="15"/>
    <col min="7335" max="7335" width="18.7109375" style="15" customWidth="1"/>
    <col min="7336" max="7336" width="18.140625" style="15" customWidth="1"/>
    <col min="7337" max="7337" width="8.7109375" style="15" customWidth="1"/>
    <col min="7338" max="7338" width="9.140625" style="15"/>
    <col min="7339" max="7339" width="9.140625" style="15" customWidth="1"/>
    <col min="7340" max="7340" width="27.28515625" style="15" customWidth="1"/>
    <col min="7341" max="7376" width="9.140625" style="15" customWidth="1"/>
    <col min="7377" max="7590" width="9.140625" style="15"/>
    <col min="7591" max="7591" width="18.7109375" style="15" customWidth="1"/>
    <col min="7592" max="7592" width="18.140625" style="15" customWidth="1"/>
    <col min="7593" max="7593" width="8.7109375" style="15" customWidth="1"/>
    <col min="7594" max="7594" width="9.140625" style="15"/>
    <col min="7595" max="7595" width="9.140625" style="15" customWidth="1"/>
    <col min="7596" max="7596" width="27.28515625" style="15" customWidth="1"/>
    <col min="7597" max="7632" width="9.140625" style="15" customWidth="1"/>
    <col min="7633" max="7846" width="9.140625" style="15"/>
    <col min="7847" max="7847" width="18.7109375" style="15" customWidth="1"/>
    <col min="7848" max="7848" width="18.140625" style="15" customWidth="1"/>
    <col min="7849" max="7849" width="8.7109375" style="15" customWidth="1"/>
    <col min="7850" max="7850" width="9.140625" style="15"/>
    <col min="7851" max="7851" width="9.140625" style="15" customWidth="1"/>
    <col min="7852" max="7852" width="27.28515625" style="15" customWidth="1"/>
    <col min="7853" max="7888" width="9.140625" style="15" customWidth="1"/>
    <col min="7889" max="8102" width="9.140625" style="15"/>
    <col min="8103" max="8103" width="18.7109375" style="15" customWidth="1"/>
    <col min="8104" max="8104" width="18.140625" style="15" customWidth="1"/>
    <col min="8105" max="8105" width="8.7109375" style="15" customWidth="1"/>
    <col min="8106" max="8106" width="9.140625" style="15"/>
    <col min="8107" max="8107" width="9.140625" style="15" customWidth="1"/>
    <col min="8108" max="8108" width="27.28515625" style="15" customWidth="1"/>
    <col min="8109" max="8144" width="9.140625" style="15" customWidth="1"/>
    <col min="8145" max="8358" width="9.140625" style="15"/>
    <col min="8359" max="8359" width="18.7109375" style="15" customWidth="1"/>
    <col min="8360" max="8360" width="18.140625" style="15" customWidth="1"/>
    <col min="8361" max="8361" width="8.7109375" style="15" customWidth="1"/>
    <col min="8362" max="8362" width="9.140625" style="15"/>
    <col min="8363" max="8363" width="9.140625" style="15" customWidth="1"/>
    <col min="8364" max="8364" width="27.28515625" style="15" customWidth="1"/>
    <col min="8365" max="8400" width="9.140625" style="15" customWidth="1"/>
    <col min="8401" max="8614" width="9.140625" style="15"/>
    <col min="8615" max="8615" width="18.7109375" style="15" customWidth="1"/>
    <col min="8616" max="8616" width="18.140625" style="15" customWidth="1"/>
    <col min="8617" max="8617" width="8.7109375" style="15" customWidth="1"/>
    <col min="8618" max="8618" width="9.140625" style="15"/>
    <col min="8619" max="8619" width="9.140625" style="15" customWidth="1"/>
    <col min="8620" max="8620" width="27.28515625" style="15" customWidth="1"/>
    <col min="8621" max="8656" width="9.140625" style="15" customWidth="1"/>
    <col min="8657" max="8870" width="9.140625" style="15"/>
    <col min="8871" max="8871" width="18.7109375" style="15" customWidth="1"/>
    <col min="8872" max="8872" width="18.140625" style="15" customWidth="1"/>
    <col min="8873" max="8873" width="8.7109375" style="15" customWidth="1"/>
    <col min="8874" max="8874" width="9.140625" style="15"/>
    <col min="8875" max="8875" width="9.140625" style="15" customWidth="1"/>
    <col min="8876" max="8876" width="27.28515625" style="15" customWidth="1"/>
    <col min="8877" max="8912" width="9.140625" style="15" customWidth="1"/>
    <col min="8913" max="9126" width="9.140625" style="15"/>
    <col min="9127" max="9127" width="18.7109375" style="15" customWidth="1"/>
    <col min="9128" max="9128" width="18.140625" style="15" customWidth="1"/>
    <col min="9129" max="9129" width="8.7109375" style="15" customWidth="1"/>
    <col min="9130" max="9130" width="9.140625" style="15"/>
    <col min="9131" max="9131" width="9.140625" style="15" customWidth="1"/>
    <col min="9132" max="9132" width="27.28515625" style="15" customWidth="1"/>
    <col min="9133" max="9168" width="9.140625" style="15" customWidth="1"/>
    <col min="9169" max="9382" width="9.140625" style="15"/>
    <col min="9383" max="9383" width="18.7109375" style="15" customWidth="1"/>
    <col min="9384" max="9384" width="18.140625" style="15" customWidth="1"/>
    <col min="9385" max="9385" width="8.7109375" style="15" customWidth="1"/>
    <col min="9386" max="9386" width="9.140625" style="15"/>
    <col min="9387" max="9387" width="9.140625" style="15" customWidth="1"/>
    <col min="9388" max="9388" width="27.28515625" style="15" customWidth="1"/>
    <col min="9389" max="9424" width="9.140625" style="15" customWidth="1"/>
    <col min="9425" max="9638" width="9.140625" style="15"/>
    <col min="9639" max="9639" width="18.7109375" style="15" customWidth="1"/>
    <col min="9640" max="9640" width="18.140625" style="15" customWidth="1"/>
    <col min="9641" max="9641" width="8.7109375" style="15" customWidth="1"/>
    <col min="9642" max="9642" width="9.140625" style="15"/>
    <col min="9643" max="9643" width="9.140625" style="15" customWidth="1"/>
    <col min="9644" max="9644" width="27.28515625" style="15" customWidth="1"/>
    <col min="9645" max="9680" width="9.140625" style="15" customWidth="1"/>
    <col min="9681" max="9894" width="9.140625" style="15"/>
    <col min="9895" max="9895" width="18.7109375" style="15" customWidth="1"/>
    <col min="9896" max="9896" width="18.140625" style="15" customWidth="1"/>
    <col min="9897" max="9897" width="8.7109375" style="15" customWidth="1"/>
    <col min="9898" max="9898" width="9.140625" style="15"/>
    <col min="9899" max="9899" width="9.140625" style="15" customWidth="1"/>
    <col min="9900" max="9900" width="27.28515625" style="15" customWidth="1"/>
    <col min="9901" max="9936" width="9.140625" style="15" customWidth="1"/>
    <col min="9937" max="10150" width="9.140625" style="15"/>
    <col min="10151" max="10151" width="18.7109375" style="15" customWidth="1"/>
    <col min="10152" max="10152" width="18.140625" style="15" customWidth="1"/>
    <col min="10153" max="10153" width="8.7109375" style="15" customWidth="1"/>
    <col min="10154" max="10154" width="9.140625" style="15"/>
    <col min="10155" max="10155" width="9.140625" style="15" customWidth="1"/>
    <col min="10156" max="10156" width="27.28515625" style="15" customWidth="1"/>
    <col min="10157" max="10192" width="9.140625" style="15" customWidth="1"/>
    <col min="10193" max="10406" width="9.140625" style="15"/>
    <col min="10407" max="10407" width="18.7109375" style="15" customWidth="1"/>
    <col min="10408" max="10408" width="18.140625" style="15" customWidth="1"/>
    <col min="10409" max="10409" width="8.7109375" style="15" customWidth="1"/>
    <col min="10410" max="10410" width="9.140625" style="15"/>
    <col min="10411" max="10411" width="9.140625" style="15" customWidth="1"/>
    <col min="10412" max="10412" width="27.28515625" style="15" customWidth="1"/>
    <col min="10413" max="10448" width="9.140625" style="15" customWidth="1"/>
    <col min="10449" max="10662" width="9.140625" style="15"/>
    <col min="10663" max="10663" width="18.7109375" style="15" customWidth="1"/>
    <col min="10664" max="10664" width="18.140625" style="15" customWidth="1"/>
    <col min="10665" max="10665" width="8.7109375" style="15" customWidth="1"/>
    <col min="10666" max="10666" width="9.140625" style="15"/>
    <col min="10667" max="10667" width="9.140625" style="15" customWidth="1"/>
    <col min="10668" max="10668" width="27.28515625" style="15" customWidth="1"/>
    <col min="10669" max="10704" width="9.140625" style="15" customWidth="1"/>
    <col min="10705" max="10918" width="9.140625" style="15"/>
    <col min="10919" max="10919" width="18.7109375" style="15" customWidth="1"/>
    <col min="10920" max="10920" width="18.140625" style="15" customWidth="1"/>
    <col min="10921" max="10921" width="8.7109375" style="15" customWidth="1"/>
    <col min="10922" max="10922" width="9.140625" style="15"/>
    <col min="10923" max="10923" width="9.140625" style="15" customWidth="1"/>
    <col min="10924" max="10924" width="27.28515625" style="15" customWidth="1"/>
    <col min="10925" max="10960" width="9.140625" style="15" customWidth="1"/>
    <col min="10961" max="11174" width="9.140625" style="15"/>
    <col min="11175" max="11175" width="18.7109375" style="15" customWidth="1"/>
    <col min="11176" max="11176" width="18.140625" style="15" customWidth="1"/>
    <col min="11177" max="11177" width="8.7109375" style="15" customWidth="1"/>
    <col min="11178" max="11178" width="9.140625" style="15"/>
    <col min="11179" max="11179" width="9.140625" style="15" customWidth="1"/>
    <col min="11180" max="11180" width="27.28515625" style="15" customWidth="1"/>
    <col min="11181" max="11216" width="9.140625" style="15" customWidth="1"/>
    <col min="11217" max="11430" width="9.140625" style="15"/>
    <col min="11431" max="11431" width="18.7109375" style="15" customWidth="1"/>
    <col min="11432" max="11432" width="18.140625" style="15" customWidth="1"/>
    <col min="11433" max="11433" width="8.7109375" style="15" customWidth="1"/>
    <col min="11434" max="11434" width="9.140625" style="15"/>
    <col min="11435" max="11435" width="9.140625" style="15" customWidth="1"/>
    <col min="11436" max="11436" width="27.28515625" style="15" customWidth="1"/>
    <col min="11437" max="11472" width="9.140625" style="15" customWidth="1"/>
    <col min="11473" max="11686" width="9.140625" style="15"/>
    <col min="11687" max="11687" width="18.7109375" style="15" customWidth="1"/>
    <col min="11688" max="11688" width="18.140625" style="15" customWidth="1"/>
    <col min="11689" max="11689" width="8.7109375" style="15" customWidth="1"/>
    <col min="11690" max="11690" width="9.140625" style="15"/>
    <col min="11691" max="11691" width="9.140625" style="15" customWidth="1"/>
    <col min="11692" max="11692" width="27.28515625" style="15" customWidth="1"/>
    <col min="11693" max="11728" width="9.140625" style="15" customWidth="1"/>
    <col min="11729" max="11942" width="9.140625" style="15"/>
    <col min="11943" max="11943" width="18.7109375" style="15" customWidth="1"/>
    <col min="11944" max="11944" width="18.140625" style="15" customWidth="1"/>
    <col min="11945" max="11945" width="8.7109375" style="15" customWidth="1"/>
    <col min="11946" max="11946" width="9.140625" style="15"/>
    <col min="11947" max="11947" width="9.140625" style="15" customWidth="1"/>
    <col min="11948" max="11948" width="27.28515625" style="15" customWidth="1"/>
    <col min="11949" max="11984" width="9.140625" style="15" customWidth="1"/>
    <col min="11985" max="12198" width="9.140625" style="15"/>
    <col min="12199" max="12199" width="18.7109375" style="15" customWidth="1"/>
    <col min="12200" max="12200" width="18.140625" style="15" customWidth="1"/>
    <col min="12201" max="12201" width="8.7109375" style="15" customWidth="1"/>
    <col min="12202" max="12202" width="9.140625" style="15"/>
    <col min="12203" max="12203" width="9.140625" style="15" customWidth="1"/>
    <col min="12204" max="12204" width="27.28515625" style="15" customWidth="1"/>
    <col min="12205" max="12240" width="9.140625" style="15" customWidth="1"/>
    <col min="12241" max="12454" width="9.140625" style="15"/>
    <col min="12455" max="12455" width="18.7109375" style="15" customWidth="1"/>
    <col min="12456" max="12456" width="18.140625" style="15" customWidth="1"/>
    <col min="12457" max="12457" width="8.7109375" style="15" customWidth="1"/>
    <col min="12458" max="12458" width="9.140625" style="15"/>
    <col min="12459" max="12459" width="9.140625" style="15" customWidth="1"/>
    <col min="12460" max="12460" width="27.28515625" style="15" customWidth="1"/>
    <col min="12461" max="12496" width="9.140625" style="15" customWidth="1"/>
    <col min="12497" max="12710" width="9.140625" style="15"/>
    <col min="12711" max="12711" width="18.7109375" style="15" customWidth="1"/>
    <col min="12712" max="12712" width="18.140625" style="15" customWidth="1"/>
    <col min="12713" max="12713" width="8.7109375" style="15" customWidth="1"/>
    <col min="12714" max="12714" width="9.140625" style="15"/>
    <col min="12715" max="12715" width="9.140625" style="15" customWidth="1"/>
    <col min="12716" max="12716" width="27.28515625" style="15" customWidth="1"/>
    <col min="12717" max="12752" width="9.140625" style="15" customWidth="1"/>
    <col min="12753" max="12966" width="9.140625" style="15"/>
    <col min="12967" max="12967" width="18.7109375" style="15" customWidth="1"/>
    <col min="12968" max="12968" width="18.140625" style="15" customWidth="1"/>
    <col min="12969" max="12969" width="8.7109375" style="15" customWidth="1"/>
    <col min="12970" max="12970" width="9.140625" style="15"/>
    <col min="12971" max="12971" width="9.140625" style="15" customWidth="1"/>
    <col min="12972" max="12972" width="27.28515625" style="15" customWidth="1"/>
    <col min="12973" max="13008" width="9.140625" style="15" customWidth="1"/>
    <col min="13009" max="13222" width="9.140625" style="15"/>
    <col min="13223" max="13223" width="18.7109375" style="15" customWidth="1"/>
    <col min="13224" max="13224" width="18.140625" style="15" customWidth="1"/>
    <col min="13225" max="13225" width="8.7109375" style="15" customWidth="1"/>
    <col min="13226" max="13226" width="9.140625" style="15"/>
    <col min="13227" max="13227" width="9.140625" style="15" customWidth="1"/>
    <col min="13228" max="13228" width="27.28515625" style="15" customWidth="1"/>
    <col min="13229" max="13264" width="9.140625" style="15" customWidth="1"/>
    <col min="13265" max="13478" width="9.140625" style="15"/>
    <col min="13479" max="13479" width="18.7109375" style="15" customWidth="1"/>
    <col min="13480" max="13480" width="18.140625" style="15" customWidth="1"/>
    <col min="13481" max="13481" width="8.7109375" style="15" customWidth="1"/>
    <col min="13482" max="13482" width="9.140625" style="15"/>
    <col min="13483" max="13483" width="9.140625" style="15" customWidth="1"/>
    <col min="13484" max="13484" width="27.28515625" style="15" customWidth="1"/>
    <col min="13485" max="13520" width="9.140625" style="15" customWidth="1"/>
    <col min="13521" max="13734" width="9.140625" style="15"/>
    <col min="13735" max="13735" width="18.7109375" style="15" customWidth="1"/>
    <col min="13736" max="13736" width="18.140625" style="15" customWidth="1"/>
    <col min="13737" max="13737" width="8.7109375" style="15" customWidth="1"/>
    <col min="13738" max="13738" width="9.140625" style="15"/>
    <col min="13739" max="13739" width="9.140625" style="15" customWidth="1"/>
    <col min="13740" max="13740" width="27.28515625" style="15" customWidth="1"/>
    <col min="13741" max="13776" width="9.140625" style="15" customWidth="1"/>
    <col min="13777" max="13990" width="9.140625" style="15"/>
    <col min="13991" max="13991" width="18.7109375" style="15" customWidth="1"/>
    <col min="13992" max="13992" width="18.140625" style="15" customWidth="1"/>
    <col min="13993" max="13993" width="8.7109375" style="15" customWidth="1"/>
    <col min="13994" max="13994" width="9.140625" style="15"/>
    <col min="13995" max="13995" width="9.140625" style="15" customWidth="1"/>
    <col min="13996" max="13996" width="27.28515625" style="15" customWidth="1"/>
    <col min="13997" max="14032" width="9.140625" style="15" customWidth="1"/>
    <col min="14033" max="14246" width="9.140625" style="15"/>
    <col min="14247" max="14247" width="18.7109375" style="15" customWidth="1"/>
    <col min="14248" max="14248" width="18.140625" style="15" customWidth="1"/>
    <col min="14249" max="14249" width="8.7109375" style="15" customWidth="1"/>
    <col min="14250" max="14250" width="9.140625" style="15"/>
    <col min="14251" max="14251" width="9.140625" style="15" customWidth="1"/>
    <col min="14252" max="14252" width="27.28515625" style="15" customWidth="1"/>
    <col min="14253" max="14288" width="9.140625" style="15" customWidth="1"/>
    <col min="14289" max="14502" width="9.140625" style="15"/>
    <col min="14503" max="14503" width="18.7109375" style="15" customWidth="1"/>
    <col min="14504" max="14504" width="18.140625" style="15" customWidth="1"/>
    <col min="14505" max="14505" width="8.7109375" style="15" customWidth="1"/>
    <col min="14506" max="14506" width="9.140625" style="15"/>
    <col min="14507" max="14507" width="9.140625" style="15" customWidth="1"/>
    <col min="14508" max="14508" width="27.28515625" style="15" customWidth="1"/>
    <col min="14509" max="14544" width="9.140625" style="15" customWidth="1"/>
    <col min="14545" max="14758" width="9.140625" style="15"/>
    <col min="14759" max="14759" width="18.7109375" style="15" customWidth="1"/>
    <col min="14760" max="14760" width="18.140625" style="15" customWidth="1"/>
    <col min="14761" max="14761" width="8.7109375" style="15" customWidth="1"/>
    <col min="14762" max="14762" width="9.140625" style="15"/>
    <col min="14763" max="14763" width="9.140625" style="15" customWidth="1"/>
    <col min="14764" max="14764" width="27.28515625" style="15" customWidth="1"/>
    <col min="14765" max="14800" width="9.140625" style="15" customWidth="1"/>
    <col min="14801" max="15014" width="9.140625" style="15"/>
    <col min="15015" max="15015" width="18.7109375" style="15" customWidth="1"/>
    <col min="15016" max="15016" width="18.140625" style="15" customWidth="1"/>
    <col min="15017" max="15017" width="8.7109375" style="15" customWidth="1"/>
    <col min="15018" max="15018" width="9.140625" style="15"/>
    <col min="15019" max="15019" width="9.140625" style="15" customWidth="1"/>
    <col min="15020" max="15020" width="27.28515625" style="15" customWidth="1"/>
    <col min="15021" max="15056" width="9.140625" style="15" customWidth="1"/>
    <col min="15057" max="15270" width="9.140625" style="15"/>
    <col min="15271" max="15271" width="18.7109375" style="15" customWidth="1"/>
    <col min="15272" max="15272" width="18.140625" style="15" customWidth="1"/>
    <col min="15273" max="15273" width="8.7109375" style="15" customWidth="1"/>
    <col min="15274" max="15274" width="9.140625" style="15"/>
    <col min="15275" max="15275" width="9.140625" style="15" customWidth="1"/>
    <col min="15276" max="15276" width="27.28515625" style="15" customWidth="1"/>
    <col min="15277" max="15312" width="9.140625" style="15" customWidth="1"/>
    <col min="15313" max="15526" width="9.140625" style="15"/>
    <col min="15527" max="15527" width="18.7109375" style="15" customWidth="1"/>
    <col min="15528" max="15528" width="18.140625" style="15" customWidth="1"/>
    <col min="15529" max="15529" width="8.7109375" style="15" customWidth="1"/>
    <col min="15530" max="15530" width="9.140625" style="15"/>
    <col min="15531" max="15531" width="9.140625" style="15" customWidth="1"/>
    <col min="15532" max="15532" width="27.28515625" style="15" customWidth="1"/>
    <col min="15533" max="15568" width="9.140625" style="15" customWidth="1"/>
    <col min="15569" max="15782" width="9.140625" style="15"/>
    <col min="15783" max="15783" width="18.7109375" style="15" customWidth="1"/>
    <col min="15784" max="15784" width="18.140625" style="15" customWidth="1"/>
    <col min="15785" max="15785" width="8.7109375" style="15" customWidth="1"/>
    <col min="15786" max="15786" width="9.140625" style="15"/>
    <col min="15787" max="15787" width="9.140625" style="15" customWidth="1"/>
    <col min="15788" max="15788" width="27.28515625" style="15" customWidth="1"/>
    <col min="15789" max="15824" width="9.140625" style="15" customWidth="1"/>
    <col min="15825" max="16038" width="9.140625" style="15"/>
    <col min="16039" max="16039" width="18.7109375" style="15" customWidth="1"/>
    <col min="16040" max="16040" width="18.140625" style="15" customWidth="1"/>
    <col min="16041" max="16041" width="8.7109375" style="15" customWidth="1"/>
    <col min="16042" max="16042" width="9.140625" style="15"/>
    <col min="16043" max="16043" width="9.140625" style="15" customWidth="1"/>
    <col min="16044" max="16044" width="27.28515625" style="15" customWidth="1"/>
    <col min="16045" max="16080" width="9.140625" style="15" customWidth="1"/>
    <col min="16081" max="16384" width="9.140625" style="15"/>
  </cols>
  <sheetData>
    <row r="1" spans="1:8" s="17" customFormat="1" ht="21" customHeight="1" x14ac:dyDescent="0.25">
      <c r="C1" s="582" t="str">
        <f>НазваниеПолное</f>
        <v>Ралли "Западные ворота - 2017"</v>
      </c>
      <c r="D1" s="582"/>
      <c r="E1" s="582"/>
      <c r="F1" s="582"/>
      <c r="G1" s="582"/>
      <c r="H1" s="582"/>
    </row>
    <row r="2" spans="1:8" s="17" customFormat="1" ht="21" customHeight="1" x14ac:dyDescent="0.25">
      <c r="C2" s="583" t="s">
        <v>534</v>
      </c>
      <c r="D2" s="583"/>
      <c r="E2" s="583"/>
      <c r="F2" s="583"/>
      <c r="G2" s="583"/>
      <c r="H2" s="583"/>
    </row>
    <row r="3" spans="1:8" s="17" customFormat="1" ht="3" customHeight="1" x14ac:dyDescent="0.25"/>
    <row r="4" spans="1:8" ht="30" x14ac:dyDescent="0.25">
      <c r="A4" s="150" t="s">
        <v>154</v>
      </c>
      <c r="B4" s="150" t="s">
        <v>19</v>
      </c>
      <c r="C4" s="151" t="s">
        <v>177</v>
      </c>
      <c r="D4" s="151" t="s">
        <v>20</v>
      </c>
      <c r="E4" s="151" t="s">
        <v>21</v>
      </c>
      <c r="F4" s="151" t="s">
        <v>22</v>
      </c>
      <c r="G4" s="151" t="s">
        <v>23</v>
      </c>
      <c r="H4" s="152" t="s">
        <v>50</v>
      </c>
    </row>
    <row r="5" spans="1:8" x14ac:dyDescent="0.25">
      <c r="A5" s="319">
        <v>1</v>
      </c>
      <c r="B5" s="221">
        <v>28</v>
      </c>
      <c r="C5" s="219" t="s">
        <v>147</v>
      </c>
      <c r="D5" s="219" t="s">
        <v>522</v>
      </c>
      <c r="E5" s="219" t="s">
        <v>148</v>
      </c>
      <c r="F5" s="219" t="s">
        <v>149</v>
      </c>
      <c r="G5" s="221" t="s">
        <v>30</v>
      </c>
      <c r="H5" s="322">
        <v>0.41666666666666669</v>
      </c>
    </row>
    <row r="6" spans="1:8" x14ac:dyDescent="0.25">
      <c r="A6" s="321">
        <f>1+A5</f>
        <v>2</v>
      </c>
      <c r="B6" s="220">
        <v>1</v>
      </c>
      <c r="C6" s="218" t="s">
        <v>431</v>
      </c>
      <c r="D6" s="218" t="s">
        <v>42</v>
      </c>
      <c r="E6" s="218" t="s">
        <v>84</v>
      </c>
      <c r="F6" s="218" t="s">
        <v>85</v>
      </c>
      <c r="G6" s="220" t="s">
        <v>30</v>
      </c>
      <c r="H6" s="320">
        <v>0.41736111111111113</v>
      </c>
    </row>
    <row r="7" spans="1:8" x14ac:dyDescent="0.25">
      <c r="A7" s="321">
        <f>1+A6</f>
        <v>3</v>
      </c>
      <c r="B7" s="221">
        <v>2</v>
      </c>
      <c r="C7" s="219" t="s">
        <v>167</v>
      </c>
      <c r="D7" s="219" t="s">
        <v>436</v>
      </c>
      <c r="E7" s="219" t="s">
        <v>169</v>
      </c>
      <c r="F7" s="219" t="s">
        <v>171</v>
      </c>
      <c r="G7" s="221" t="s">
        <v>31</v>
      </c>
      <c r="H7" s="322">
        <v>0.41805555555555557</v>
      </c>
    </row>
    <row r="8" spans="1:8" x14ac:dyDescent="0.25">
      <c r="A8" s="321">
        <f t="shared" ref="A8:A35" si="0">1+A7</f>
        <v>4</v>
      </c>
      <c r="B8" s="221">
        <v>3</v>
      </c>
      <c r="C8" s="219" t="s">
        <v>144</v>
      </c>
      <c r="D8" s="219" t="s">
        <v>128</v>
      </c>
      <c r="E8" s="219" t="s">
        <v>145</v>
      </c>
      <c r="F8" s="219" t="s">
        <v>146</v>
      </c>
      <c r="G8" s="221" t="s">
        <v>31</v>
      </c>
      <c r="H8" s="322">
        <v>0.41875000000000001</v>
      </c>
    </row>
    <row r="9" spans="1:8" x14ac:dyDescent="0.25">
      <c r="A9" s="321">
        <f t="shared" si="0"/>
        <v>5</v>
      </c>
      <c r="B9" s="221">
        <v>4</v>
      </c>
      <c r="C9" s="219" t="s">
        <v>441</v>
      </c>
      <c r="D9" s="219" t="s">
        <v>141</v>
      </c>
      <c r="E9" s="219" t="s">
        <v>142</v>
      </c>
      <c r="F9" s="219" t="s">
        <v>143</v>
      </c>
      <c r="G9" s="221" t="s">
        <v>31</v>
      </c>
      <c r="H9" s="322">
        <v>0.41944444444444445</v>
      </c>
    </row>
    <row r="10" spans="1:8" x14ac:dyDescent="0.25">
      <c r="A10" s="321">
        <f t="shared" si="0"/>
        <v>6</v>
      </c>
      <c r="B10" s="221">
        <v>5</v>
      </c>
      <c r="C10" s="219" t="s">
        <v>443</v>
      </c>
      <c r="D10" s="219" t="s">
        <v>444</v>
      </c>
      <c r="E10" s="219" t="s">
        <v>446</v>
      </c>
      <c r="F10" s="219" t="s">
        <v>448</v>
      </c>
      <c r="G10" s="221" t="s">
        <v>31</v>
      </c>
      <c r="H10" s="322">
        <v>0.4201388888888889</v>
      </c>
    </row>
    <row r="11" spans="1:8" x14ac:dyDescent="0.25">
      <c r="A11" s="321">
        <f t="shared" si="0"/>
        <v>7</v>
      </c>
      <c r="B11" s="221">
        <v>6</v>
      </c>
      <c r="C11" s="219" t="s">
        <v>449</v>
      </c>
      <c r="D11" s="219" t="s">
        <v>450</v>
      </c>
      <c r="E11" s="219" t="s">
        <v>164</v>
      </c>
      <c r="F11" s="219" t="s">
        <v>452</v>
      </c>
      <c r="G11" s="221" t="s">
        <v>31</v>
      </c>
      <c r="H11" s="322">
        <v>0.42083333333333334</v>
      </c>
    </row>
    <row r="12" spans="1:8" x14ac:dyDescent="0.25">
      <c r="A12" s="321">
        <f t="shared" si="0"/>
        <v>8</v>
      </c>
      <c r="B12" s="221">
        <v>7</v>
      </c>
      <c r="C12" s="219" t="s">
        <v>135</v>
      </c>
      <c r="D12" s="219" t="s">
        <v>453</v>
      </c>
      <c r="E12" s="219" t="s">
        <v>136</v>
      </c>
      <c r="F12" s="219" t="s">
        <v>82</v>
      </c>
      <c r="G12" s="221" t="s">
        <v>31</v>
      </c>
      <c r="H12" s="322">
        <v>0.42152777777777778</v>
      </c>
    </row>
    <row r="13" spans="1:8" x14ac:dyDescent="0.25">
      <c r="A13" s="321">
        <f t="shared" si="0"/>
        <v>9</v>
      </c>
      <c r="B13" s="221">
        <v>8</v>
      </c>
      <c r="C13" s="219" t="s">
        <v>455</v>
      </c>
      <c r="D13" s="219" t="s">
        <v>456</v>
      </c>
      <c r="E13" s="219" t="s">
        <v>458</v>
      </c>
      <c r="F13" s="219" t="s">
        <v>460</v>
      </c>
      <c r="G13" s="221" t="s">
        <v>31</v>
      </c>
      <c r="H13" s="322">
        <v>0.42222222222222222</v>
      </c>
    </row>
    <row r="14" spans="1:8" x14ac:dyDescent="0.25">
      <c r="A14" s="321">
        <f t="shared" si="0"/>
        <v>10</v>
      </c>
      <c r="B14" s="221">
        <v>9</v>
      </c>
      <c r="C14" s="219" t="s">
        <v>461</v>
      </c>
      <c r="D14" s="219" t="s">
        <v>178</v>
      </c>
      <c r="E14" s="219" t="s">
        <v>463</v>
      </c>
      <c r="F14" s="219" t="s">
        <v>464</v>
      </c>
      <c r="G14" s="221" t="s">
        <v>31</v>
      </c>
      <c r="H14" s="322">
        <v>0.42291666666666666</v>
      </c>
    </row>
    <row r="15" spans="1:8" x14ac:dyDescent="0.25">
      <c r="A15" s="321">
        <f t="shared" si="0"/>
        <v>11</v>
      </c>
      <c r="B15" s="221">
        <v>10</v>
      </c>
      <c r="C15" s="219"/>
      <c r="D15" s="219" t="s">
        <v>132</v>
      </c>
      <c r="E15" s="219" t="s">
        <v>133</v>
      </c>
      <c r="F15" s="219" t="s">
        <v>134</v>
      </c>
      <c r="G15" s="221" t="s">
        <v>31</v>
      </c>
      <c r="H15" s="322">
        <v>0.4236111111111111</v>
      </c>
    </row>
    <row r="16" spans="1:8" x14ac:dyDescent="0.25">
      <c r="A16" s="321">
        <f t="shared" si="0"/>
        <v>12</v>
      </c>
      <c r="B16" s="221">
        <v>11</v>
      </c>
      <c r="C16" s="219" t="s">
        <v>466</v>
      </c>
      <c r="D16" s="219" t="s">
        <v>467</v>
      </c>
      <c r="E16" s="219" t="s">
        <v>151</v>
      </c>
      <c r="F16" s="219" t="s">
        <v>152</v>
      </c>
      <c r="G16" s="221" t="s">
        <v>31</v>
      </c>
      <c r="H16" s="322">
        <v>0.42430555555555555</v>
      </c>
    </row>
    <row r="17" spans="1:8" x14ac:dyDescent="0.25">
      <c r="A17" s="321">
        <f t="shared" si="0"/>
        <v>13</v>
      </c>
      <c r="B17" s="221">
        <v>12</v>
      </c>
      <c r="C17" s="219" t="s">
        <v>469</v>
      </c>
      <c r="D17" s="219" t="s">
        <v>470</v>
      </c>
      <c r="E17" s="219" t="s">
        <v>472</v>
      </c>
      <c r="F17" s="219" t="s">
        <v>473</v>
      </c>
      <c r="G17" s="221" t="s">
        <v>31</v>
      </c>
      <c r="H17" s="322">
        <v>0.42499999999999999</v>
      </c>
    </row>
    <row r="18" spans="1:8" x14ac:dyDescent="0.25">
      <c r="A18" s="321">
        <f t="shared" si="0"/>
        <v>14</v>
      </c>
      <c r="B18" s="221">
        <v>13</v>
      </c>
      <c r="C18" s="219" t="s">
        <v>474</v>
      </c>
      <c r="D18" s="219" t="s">
        <v>475</v>
      </c>
      <c r="E18" s="219" t="s">
        <v>477</v>
      </c>
      <c r="F18" s="219" t="s">
        <v>478</v>
      </c>
      <c r="G18" s="221" t="s">
        <v>31</v>
      </c>
      <c r="H18" s="322">
        <v>0.42569444444444443</v>
      </c>
    </row>
    <row r="19" spans="1:8" x14ac:dyDescent="0.25">
      <c r="A19" s="321">
        <f t="shared" si="0"/>
        <v>15</v>
      </c>
      <c r="B19" s="221">
        <v>14</v>
      </c>
      <c r="C19" s="219" t="s">
        <v>479</v>
      </c>
      <c r="D19" s="219" t="s">
        <v>480</v>
      </c>
      <c r="E19" s="219" t="s">
        <v>174</v>
      </c>
      <c r="F19" s="219" t="s">
        <v>175</v>
      </c>
      <c r="G19" s="221" t="s">
        <v>31</v>
      </c>
      <c r="H19" s="322">
        <v>0.42638888888888887</v>
      </c>
    </row>
    <row r="20" spans="1:8" x14ac:dyDescent="0.25">
      <c r="A20" s="321">
        <f t="shared" si="0"/>
        <v>16</v>
      </c>
      <c r="B20" s="221">
        <v>15</v>
      </c>
      <c r="C20" s="219" t="s">
        <v>482</v>
      </c>
      <c r="D20" s="219" t="s">
        <v>483</v>
      </c>
      <c r="E20" s="219" t="s">
        <v>485</v>
      </c>
      <c r="F20" s="219" t="s">
        <v>173</v>
      </c>
      <c r="G20" s="221" t="s">
        <v>31</v>
      </c>
      <c r="H20" s="322">
        <v>0.42708333333333331</v>
      </c>
    </row>
    <row r="21" spans="1:8" x14ac:dyDescent="0.25">
      <c r="A21" s="321">
        <f t="shared" si="0"/>
        <v>17</v>
      </c>
      <c r="B21" s="221">
        <v>16</v>
      </c>
      <c r="C21" s="219" t="s">
        <v>168</v>
      </c>
      <c r="D21" s="219" t="s">
        <v>486</v>
      </c>
      <c r="E21" s="219" t="s">
        <v>170</v>
      </c>
      <c r="F21" s="219" t="s">
        <v>172</v>
      </c>
      <c r="G21" s="221" t="s">
        <v>31</v>
      </c>
      <c r="H21" s="322">
        <v>0.42777777777777781</v>
      </c>
    </row>
    <row r="22" spans="1:8" x14ac:dyDescent="0.25">
      <c r="A22" s="321">
        <f t="shared" si="0"/>
        <v>18</v>
      </c>
      <c r="B22" s="221">
        <v>17</v>
      </c>
      <c r="C22" s="219" t="s">
        <v>48</v>
      </c>
      <c r="D22" s="219" t="s">
        <v>488</v>
      </c>
      <c r="E22" s="219" t="s">
        <v>49</v>
      </c>
      <c r="F22" s="219" t="s">
        <v>140</v>
      </c>
      <c r="G22" s="221" t="s">
        <v>31</v>
      </c>
      <c r="H22" s="322">
        <v>0.4284722222222222</v>
      </c>
    </row>
    <row r="23" spans="1:8" x14ac:dyDescent="0.25">
      <c r="A23" s="321">
        <f t="shared" si="0"/>
        <v>19</v>
      </c>
      <c r="B23" s="221">
        <v>18</v>
      </c>
      <c r="C23" s="219" t="s">
        <v>491</v>
      </c>
      <c r="D23" s="219" t="s">
        <v>492</v>
      </c>
      <c r="E23" s="219" t="s">
        <v>494</v>
      </c>
      <c r="F23" s="219" t="s">
        <v>176</v>
      </c>
      <c r="G23" s="221" t="s">
        <v>31</v>
      </c>
      <c r="H23" s="322">
        <v>0.4291666666666667</v>
      </c>
    </row>
    <row r="24" spans="1:8" x14ac:dyDescent="0.25">
      <c r="A24" s="321">
        <f t="shared" si="0"/>
        <v>20</v>
      </c>
      <c r="B24" s="221">
        <v>19</v>
      </c>
      <c r="C24" s="219" t="s">
        <v>127</v>
      </c>
      <c r="D24" s="219" t="s">
        <v>128</v>
      </c>
      <c r="E24" s="219" t="s">
        <v>86</v>
      </c>
      <c r="F24" s="219" t="s">
        <v>87</v>
      </c>
      <c r="G24" s="221" t="s">
        <v>30</v>
      </c>
      <c r="H24" s="322">
        <v>0.42986111111111108</v>
      </c>
    </row>
    <row r="25" spans="1:8" x14ac:dyDescent="0.25">
      <c r="A25" s="321">
        <f t="shared" si="0"/>
        <v>21</v>
      </c>
      <c r="B25" s="221">
        <v>20</v>
      </c>
      <c r="C25" s="219" t="s">
        <v>138</v>
      </c>
      <c r="D25" s="219" t="s">
        <v>496</v>
      </c>
      <c r="E25" s="219" t="s">
        <v>44</v>
      </c>
      <c r="F25" s="219" t="s">
        <v>139</v>
      </c>
      <c r="G25" s="221" t="s">
        <v>30</v>
      </c>
      <c r="H25" s="322">
        <v>0.43055555555555558</v>
      </c>
    </row>
    <row r="26" spans="1:8" x14ac:dyDescent="0.25">
      <c r="A26" s="321">
        <f t="shared" si="0"/>
        <v>22</v>
      </c>
      <c r="B26" s="221">
        <v>21</v>
      </c>
      <c r="C26" s="219" t="s">
        <v>137</v>
      </c>
      <c r="D26" s="219" t="s">
        <v>498</v>
      </c>
      <c r="E26" s="219" t="s">
        <v>45</v>
      </c>
      <c r="F26" s="219" t="s">
        <v>46</v>
      </c>
      <c r="G26" s="221" t="s">
        <v>30</v>
      </c>
      <c r="H26" s="322">
        <v>0.43124999999999997</v>
      </c>
    </row>
    <row r="27" spans="1:8" x14ac:dyDescent="0.25">
      <c r="A27" s="321">
        <f t="shared" si="0"/>
        <v>23</v>
      </c>
      <c r="B27" s="221">
        <v>22</v>
      </c>
      <c r="C27" s="219" t="s">
        <v>161</v>
      </c>
      <c r="D27" s="219" t="s">
        <v>500</v>
      </c>
      <c r="E27" s="219" t="s">
        <v>162</v>
      </c>
      <c r="F27" s="219" t="s">
        <v>163</v>
      </c>
      <c r="G27" s="221" t="s">
        <v>30</v>
      </c>
      <c r="H27" s="322">
        <v>0.43194444444444446</v>
      </c>
    </row>
    <row r="28" spans="1:8" x14ac:dyDescent="0.25">
      <c r="A28" s="321">
        <f t="shared" si="0"/>
        <v>24</v>
      </c>
      <c r="B28" s="221">
        <v>23</v>
      </c>
      <c r="C28" s="219" t="s">
        <v>129</v>
      </c>
      <c r="D28" s="219" t="s">
        <v>506</v>
      </c>
      <c r="E28" s="219" t="s">
        <v>130</v>
      </c>
      <c r="F28" s="219" t="s">
        <v>131</v>
      </c>
      <c r="G28" s="221" t="s">
        <v>30</v>
      </c>
      <c r="H28" s="322">
        <v>0.43263888888888885</v>
      </c>
    </row>
    <row r="29" spans="1:8" x14ac:dyDescent="0.25">
      <c r="A29" s="321">
        <f t="shared" si="0"/>
        <v>25</v>
      </c>
      <c r="B29" s="221">
        <v>24</v>
      </c>
      <c r="C29" s="219" t="s">
        <v>508</v>
      </c>
      <c r="D29" s="219" t="s">
        <v>158</v>
      </c>
      <c r="E29" s="219" t="s">
        <v>159</v>
      </c>
      <c r="F29" s="219" t="s">
        <v>160</v>
      </c>
      <c r="G29" s="221" t="s">
        <v>30</v>
      </c>
      <c r="H29" s="322">
        <v>0.43333333333333335</v>
      </c>
    </row>
    <row r="30" spans="1:8" x14ac:dyDescent="0.25">
      <c r="A30" s="321">
        <f t="shared" si="0"/>
        <v>26</v>
      </c>
      <c r="B30" s="221">
        <v>25</v>
      </c>
      <c r="C30" s="219" t="s">
        <v>510</v>
      </c>
      <c r="D30" s="219" t="s">
        <v>511</v>
      </c>
      <c r="E30" s="219" t="s">
        <v>512</v>
      </c>
      <c r="F30" s="219" t="s">
        <v>513</v>
      </c>
      <c r="G30" s="221" t="s">
        <v>30</v>
      </c>
      <c r="H30" s="322">
        <v>0.43402777777777773</v>
      </c>
    </row>
    <row r="31" spans="1:8" x14ac:dyDescent="0.25">
      <c r="A31" s="321">
        <f t="shared" si="0"/>
        <v>27</v>
      </c>
      <c r="B31" s="221">
        <v>26</v>
      </c>
      <c r="C31" s="219" t="s">
        <v>514</v>
      </c>
      <c r="D31" s="219" t="s">
        <v>515</v>
      </c>
      <c r="E31" s="219" t="s">
        <v>165</v>
      </c>
      <c r="F31" s="219" t="s">
        <v>166</v>
      </c>
      <c r="G31" s="221" t="s">
        <v>30</v>
      </c>
      <c r="H31" s="322">
        <v>0.43472222222222223</v>
      </c>
    </row>
    <row r="32" spans="1:8" x14ac:dyDescent="0.25">
      <c r="A32" s="321">
        <f t="shared" si="0"/>
        <v>28</v>
      </c>
      <c r="B32" s="221">
        <v>27</v>
      </c>
      <c r="C32" s="219" t="s">
        <v>517</v>
      </c>
      <c r="D32" s="219" t="s">
        <v>518</v>
      </c>
      <c r="E32" s="219" t="s">
        <v>520</v>
      </c>
      <c r="F32" s="219" t="s">
        <v>521</v>
      </c>
      <c r="G32" s="221" t="s">
        <v>30</v>
      </c>
      <c r="H32" s="322">
        <v>0.43541666666666662</v>
      </c>
    </row>
    <row r="33" spans="1:8" x14ac:dyDescent="0.25">
      <c r="A33" s="321">
        <f t="shared" si="0"/>
        <v>29</v>
      </c>
      <c r="B33" s="221">
        <v>29</v>
      </c>
      <c r="C33" s="219" t="s">
        <v>524</v>
      </c>
      <c r="D33" s="219" t="s">
        <v>525</v>
      </c>
      <c r="E33" s="219" t="s">
        <v>527</v>
      </c>
      <c r="F33" s="219" t="s">
        <v>528</v>
      </c>
      <c r="G33" s="221" t="s">
        <v>30</v>
      </c>
      <c r="H33" s="322">
        <v>0.4368055555555555</v>
      </c>
    </row>
    <row r="34" spans="1:8" x14ac:dyDescent="0.25">
      <c r="A34" s="321">
        <f t="shared" si="0"/>
        <v>30</v>
      </c>
      <c r="B34" s="221">
        <v>30</v>
      </c>
      <c r="C34" s="219" t="s">
        <v>530</v>
      </c>
      <c r="D34" s="219" t="s">
        <v>531</v>
      </c>
      <c r="E34" s="219" t="s">
        <v>533</v>
      </c>
      <c r="F34" s="219" t="s">
        <v>83</v>
      </c>
      <c r="G34" s="221" t="s">
        <v>30</v>
      </c>
      <c r="H34" s="322">
        <v>0.4375</v>
      </c>
    </row>
    <row r="35" spans="1:8" x14ac:dyDescent="0.25">
      <c r="A35" s="323">
        <f t="shared" si="0"/>
        <v>31</v>
      </c>
      <c r="B35" s="324">
        <v>31</v>
      </c>
      <c r="C35" s="325" t="s">
        <v>535</v>
      </c>
      <c r="D35" s="325" t="s">
        <v>536</v>
      </c>
      <c r="E35" s="325" t="s">
        <v>537</v>
      </c>
      <c r="F35" s="325" t="s">
        <v>538</v>
      </c>
      <c r="G35" s="324" t="s">
        <v>31</v>
      </c>
      <c r="H35" s="326">
        <v>0.4381944444444445</v>
      </c>
    </row>
  </sheetData>
  <mergeCells count="2">
    <mergeCell ref="C1:H1"/>
    <mergeCell ref="C2:H2"/>
  </mergeCells>
  <pageMargins left="0.39370078740157483" right="0.39370078740157483" top="0.39370078740157483" bottom="0.78740157480314965" header="0" footer="0.39370078740157483"/>
  <pageSetup paperSize="9" orientation="landscape" r:id="rId1"/>
  <headerFooter>
    <oddFooter>Страница  &amp;P из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L32"/>
  <sheetViews>
    <sheetView view="pageBreakPreview" zoomScaleSheetLayoutView="100" workbookViewId="0">
      <selection activeCell="B7" sqref="B7"/>
    </sheetView>
  </sheetViews>
  <sheetFormatPr defaultColWidth="9.140625" defaultRowHeight="15" x14ac:dyDescent="0.25"/>
  <cols>
    <col min="1" max="6" width="9.140625" style="17"/>
    <col min="7" max="7" width="9.140625" style="17" customWidth="1"/>
    <col min="8" max="10" width="9.140625" style="17"/>
    <col min="11" max="11" width="22.42578125" style="17" customWidth="1"/>
    <col min="12" max="16384" width="9.140625" style="17"/>
  </cols>
  <sheetData>
    <row r="1" spans="1:12" ht="21" customHeight="1" x14ac:dyDescent="0.25">
      <c r="A1" s="31"/>
      <c r="B1" s="163"/>
      <c r="C1" s="587" t="str">
        <f>НазваниеКраткое</f>
        <v>Западные ворота - 2017</v>
      </c>
      <c r="D1" s="582"/>
      <c r="E1" s="582"/>
      <c r="F1" s="588"/>
      <c r="G1" s="590" t="str">
        <f ca="1">INDIRECT(ADDRESS(L3,1,,,"Общее"))</f>
        <v>ТИ-0</v>
      </c>
      <c r="H1" s="591"/>
      <c r="I1" s="592"/>
    </row>
    <row r="2" spans="1:12" ht="21" customHeight="1" thickBot="1" x14ac:dyDescent="0.3">
      <c r="A2" s="31"/>
      <c r="B2" s="164"/>
      <c r="C2" s="583" t="s">
        <v>11</v>
      </c>
      <c r="D2" s="583"/>
      <c r="E2" s="583"/>
      <c r="F2" s="589"/>
      <c r="G2" s="593" t="s">
        <v>187</v>
      </c>
      <c r="H2" s="594"/>
      <c r="I2" s="595"/>
    </row>
    <row r="3" spans="1:12" ht="21" customHeight="1" x14ac:dyDescent="0.25">
      <c r="A3" s="106" t="s">
        <v>12</v>
      </c>
      <c r="B3" s="597" t="str">
        <f ca="1">INDIRECT(ADDRESS(L3,14,,,"Общее"))</f>
        <v>Борисов</v>
      </c>
      <c r="C3" s="598"/>
      <c r="D3" s="107" t="s">
        <v>184</v>
      </c>
      <c r="E3" s="112" t="s">
        <v>181</v>
      </c>
      <c r="F3" s="110">
        <f ca="1">INDIRECT(ADDRESS(L3,11,,,"Общее"))</f>
        <v>0.33402777777777781</v>
      </c>
      <c r="G3" s="112" t="s">
        <v>180</v>
      </c>
      <c r="H3" s="602" t="s">
        <v>225</v>
      </c>
      <c r="I3" s="603"/>
      <c r="K3" s="17" t="s">
        <v>207</v>
      </c>
      <c r="L3" s="17">
        <v>12</v>
      </c>
    </row>
    <row r="4" spans="1:12" ht="21" customHeight="1" thickBot="1" x14ac:dyDescent="0.3">
      <c r="A4" s="108" t="s">
        <v>183</v>
      </c>
      <c r="B4" s="161"/>
      <c r="C4" s="114"/>
      <c r="D4" s="109" t="s">
        <v>185</v>
      </c>
      <c r="E4" s="113" t="s">
        <v>181</v>
      </c>
      <c r="F4" s="111">
        <f ca="1">INDIRECT(ADDRESS(L3,13,,,"Общее"))</f>
        <v>0.39652777777777781</v>
      </c>
      <c r="G4" s="113" t="s">
        <v>180</v>
      </c>
      <c r="H4" s="604" t="s">
        <v>225</v>
      </c>
      <c r="I4" s="605"/>
    </row>
    <row r="5" spans="1:12" ht="71.099999999999994" customHeight="1" thickBot="1" x14ac:dyDescent="0.3">
      <c r="A5" s="596" t="s">
        <v>223</v>
      </c>
      <c r="B5" s="596"/>
      <c r="C5" s="596"/>
      <c r="D5" s="596"/>
      <c r="E5" s="596"/>
      <c r="F5" s="596"/>
      <c r="G5" s="596"/>
      <c r="H5" s="596"/>
      <c r="I5" s="596"/>
    </row>
    <row r="6" spans="1:12" ht="21" customHeight="1" x14ac:dyDescent="0.25">
      <c r="A6" s="39"/>
      <c r="B6" s="146" t="s">
        <v>0</v>
      </c>
      <c r="C6" s="606" t="s">
        <v>14</v>
      </c>
      <c r="D6" s="607"/>
      <c r="E6" s="607"/>
      <c r="F6" s="607"/>
      <c r="G6" s="607"/>
      <c r="H6" s="608"/>
      <c r="I6" s="33" t="s">
        <v>15</v>
      </c>
    </row>
    <row r="7" spans="1:12" ht="24" customHeight="1" x14ac:dyDescent="0.25">
      <c r="A7" s="37">
        <v>1</v>
      </c>
      <c r="B7" s="157"/>
      <c r="C7" s="609"/>
      <c r="D7" s="610"/>
      <c r="E7" s="610"/>
      <c r="F7" s="610"/>
      <c r="G7" s="610"/>
      <c r="H7" s="611"/>
      <c r="I7" s="38"/>
    </row>
    <row r="8" spans="1:12" ht="24" customHeight="1" x14ac:dyDescent="0.25">
      <c r="A8" s="34">
        <f>1+A7</f>
        <v>2</v>
      </c>
      <c r="B8" s="158"/>
      <c r="C8" s="584"/>
      <c r="D8" s="585"/>
      <c r="E8" s="585"/>
      <c r="F8" s="585"/>
      <c r="G8" s="585"/>
      <c r="H8" s="586"/>
      <c r="I8" s="35"/>
    </row>
    <row r="9" spans="1:12" ht="24" customHeight="1" x14ac:dyDescent="0.25">
      <c r="A9" s="34">
        <f t="shared" ref="A9:A30" si="0">1+A8</f>
        <v>3</v>
      </c>
      <c r="B9" s="158"/>
      <c r="C9" s="584"/>
      <c r="D9" s="585"/>
      <c r="E9" s="585"/>
      <c r="F9" s="585"/>
      <c r="G9" s="585"/>
      <c r="H9" s="586"/>
      <c r="I9" s="35"/>
    </row>
    <row r="10" spans="1:12" ht="24" customHeight="1" x14ac:dyDescent="0.25">
      <c r="A10" s="34">
        <f t="shared" si="0"/>
        <v>4</v>
      </c>
      <c r="B10" s="158"/>
      <c r="C10" s="584"/>
      <c r="D10" s="585"/>
      <c r="E10" s="585"/>
      <c r="F10" s="585"/>
      <c r="G10" s="585"/>
      <c r="H10" s="586"/>
      <c r="I10" s="35"/>
    </row>
    <row r="11" spans="1:12" ht="24" customHeight="1" x14ac:dyDescent="0.25">
      <c r="A11" s="34">
        <f t="shared" si="0"/>
        <v>5</v>
      </c>
      <c r="B11" s="158"/>
      <c r="C11" s="584"/>
      <c r="D11" s="585"/>
      <c r="E11" s="585"/>
      <c r="F11" s="585"/>
      <c r="G11" s="585"/>
      <c r="H11" s="586"/>
      <c r="I11" s="35"/>
    </row>
    <row r="12" spans="1:12" ht="24" customHeight="1" x14ac:dyDescent="0.25">
      <c r="A12" s="34">
        <f t="shared" si="0"/>
        <v>6</v>
      </c>
      <c r="B12" s="158"/>
      <c r="C12" s="584"/>
      <c r="D12" s="585"/>
      <c r="E12" s="585"/>
      <c r="F12" s="585"/>
      <c r="G12" s="585"/>
      <c r="H12" s="586"/>
      <c r="I12" s="35"/>
    </row>
    <row r="13" spans="1:12" ht="24" customHeight="1" x14ac:dyDescent="0.25">
      <c r="A13" s="34">
        <f t="shared" si="0"/>
        <v>7</v>
      </c>
      <c r="B13" s="158"/>
      <c r="C13" s="584"/>
      <c r="D13" s="585"/>
      <c r="E13" s="585"/>
      <c r="F13" s="585"/>
      <c r="G13" s="585"/>
      <c r="H13" s="586"/>
      <c r="I13" s="35"/>
    </row>
    <row r="14" spans="1:12" ht="24" customHeight="1" x14ac:dyDescent="0.25">
      <c r="A14" s="34">
        <f t="shared" si="0"/>
        <v>8</v>
      </c>
      <c r="B14" s="158"/>
      <c r="C14" s="584"/>
      <c r="D14" s="585"/>
      <c r="E14" s="585"/>
      <c r="F14" s="585"/>
      <c r="G14" s="585"/>
      <c r="H14" s="586"/>
      <c r="I14" s="35"/>
    </row>
    <row r="15" spans="1:12" ht="24" customHeight="1" x14ac:dyDescent="0.25">
      <c r="A15" s="34">
        <f t="shared" si="0"/>
        <v>9</v>
      </c>
      <c r="B15" s="158"/>
      <c r="C15" s="584"/>
      <c r="D15" s="585"/>
      <c r="E15" s="585"/>
      <c r="F15" s="585"/>
      <c r="G15" s="585"/>
      <c r="H15" s="586"/>
      <c r="I15" s="35"/>
    </row>
    <row r="16" spans="1:12" ht="24" customHeight="1" x14ac:dyDescent="0.25">
      <c r="A16" s="34">
        <f t="shared" si="0"/>
        <v>10</v>
      </c>
      <c r="B16" s="158"/>
      <c r="C16" s="584"/>
      <c r="D16" s="585"/>
      <c r="E16" s="585"/>
      <c r="F16" s="585"/>
      <c r="G16" s="585"/>
      <c r="H16" s="586"/>
      <c r="I16" s="35"/>
    </row>
    <row r="17" spans="1:12" ht="24" customHeight="1" x14ac:dyDescent="0.25">
      <c r="A17" s="34">
        <f t="shared" si="0"/>
        <v>11</v>
      </c>
      <c r="B17" s="158"/>
      <c r="C17" s="584"/>
      <c r="D17" s="585"/>
      <c r="E17" s="585"/>
      <c r="F17" s="585"/>
      <c r="G17" s="585"/>
      <c r="H17" s="586"/>
      <c r="I17" s="35"/>
    </row>
    <row r="18" spans="1:12" ht="24" customHeight="1" x14ac:dyDescent="0.25">
      <c r="A18" s="34">
        <f t="shared" si="0"/>
        <v>12</v>
      </c>
      <c r="B18" s="158"/>
      <c r="C18" s="584"/>
      <c r="D18" s="585"/>
      <c r="E18" s="585"/>
      <c r="F18" s="585"/>
      <c r="G18" s="585"/>
      <c r="H18" s="586"/>
      <c r="I18" s="35"/>
    </row>
    <row r="19" spans="1:12" ht="24" customHeight="1" x14ac:dyDescent="0.25">
      <c r="A19" s="34">
        <f t="shared" si="0"/>
        <v>13</v>
      </c>
      <c r="B19" s="158"/>
      <c r="C19" s="584"/>
      <c r="D19" s="585"/>
      <c r="E19" s="585"/>
      <c r="F19" s="585"/>
      <c r="G19" s="585"/>
      <c r="H19" s="586"/>
      <c r="I19" s="35"/>
    </row>
    <row r="20" spans="1:12" ht="24" customHeight="1" x14ac:dyDescent="0.25">
      <c r="A20" s="34">
        <f t="shared" si="0"/>
        <v>14</v>
      </c>
      <c r="B20" s="158"/>
      <c r="C20" s="584"/>
      <c r="D20" s="585"/>
      <c r="E20" s="585"/>
      <c r="F20" s="585"/>
      <c r="G20" s="585"/>
      <c r="H20" s="586"/>
      <c r="I20" s="35"/>
    </row>
    <row r="21" spans="1:12" ht="24" customHeight="1" x14ac:dyDescent="0.25">
      <c r="A21" s="34">
        <f t="shared" si="0"/>
        <v>15</v>
      </c>
      <c r="B21" s="158"/>
      <c r="C21" s="584"/>
      <c r="D21" s="585"/>
      <c r="E21" s="585"/>
      <c r="F21" s="585"/>
      <c r="G21" s="585"/>
      <c r="H21" s="586"/>
      <c r="I21" s="35"/>
    </row>
    <row r="22" spans="1:12" ht="24" customHeight="1" x14ac:dyDescent="0.25">
      <c r="A22" s="34">
        <f t="shared" si="0"/>
        <v>16</v>
      </c>
      <c r="B22" s="158"/>
      <c r="C22" s="584"/>
      <c r="D22" s="585"/>
      <c r="E22" s="585"/>
      <c r="F22" s="585"/>
      <c r="G22" s="585"/>
      <c r="H22" s="586"/>
      <c r="I22" s="35"/>
    </row>
    <row r="23" spans="1:12" ht="24" customHeight="1" x14ac:dyDescent="0.25">
      <c r="A23" s="34">
        <f t="shared" si="0"/>
        <v>17</v>
      </c>
      <c r="B23" s="158"/>
      <c r="C23" s="584"/>
      <c r="D23" s="585"/>
      <c r="E23" s="585"/>
      <c r="F23" s="585"/>
      <c r="G23" s="585"/>
      <c r="H23" s="586"/>
      <c r="I23" s="35"/>
    </row>
    <row r="24" spans="1:12" ht="24" customHeight="1" x14ac:dyDescent="0.25">
      <c r="A24" s="34">
        <f t="shared" si="0"/>
        <v>18</v>
      </c>
      <c r="B24" s="158"/>
      <c r="C24" s="584"/>
      <c r="D24" s="585"/>
      <c r="E24" s="585"/>
      <c r="F24" s="585"/>
      <c r="G24" s="585"/>
      <c r="H24" s="586"/>
      <c r="I24" s="35"/>
    </row>
    <row r="25" spans="1:12" ht="24" customHeight="1" x14ac:dyDescent="0.25">
      <c r="A25" s="34">
        <f t="shared" si="0"/>
        <v>19</v>
      </c>
      <c r="B25" s="158"/>
      <c r="C25" s="584"/>
      <c r="D25" s="585"/>
      <c r="E25" s="585"/>
      <c r="F25" s="585"/>
      <c r="G25" s="585"/>
      <c r="H25" s="586"/>
      <c r="I25" s="35"/>
    </row>
    <row r="26" spans="1:12" ht="24" customHeight="1" x14ac:dyDescent="0.25">
      <c r="A26" s="34">
        <f t="shared" si="0"/>
        <v>20</v>
      </c>
      <c r="B26" s="158"/>
      <c r="C26" s="584"/>
      <c r="D26" s="585"/>
      <c r="E26" s="585"/>
      <c r="F26" s="585"/>
      <c r="G26" s="585"/>
      <c r="H26" s="586"/>
      <c r="I26" s="35"/>
    </row>
    <row r="27" spans="1:12" ht="24" customHeight="1" x14ac:dyDescent="0.25">
      <c r="A27" s="34">
        <f t="shared" si="0"/>
        <v>21</v>
      </c>
      <c r="B27" s="158"/>
      <c r="C27" s="584"/>
      <c r="D27" s="585"/>
      <c r="E27" s="585"/>
      <c r="F27" s="585"/>
      <c r="G27" s="585"/>
      <c r="H27" s="586"/>
      <c r="I27" s="35"/>
    </row>
    <row r="28" spans="1:12" ht="24" customHeight="1" x14ac:dyDescent="0.25">
      <c r="A28" s="34">
        <f t="shared" si="0"/>
        <v>22</v>
      </c>
      <c r="B28" s="158"/>
      <c r="C28" s="584"/>
      <c r="D28" s="585"/>
      <c r="E28" s="585"/>
      <c r="F28" s="585"/>
      <c r="G28" s="585"/>
      <c r="H28" s="586"/>
      <c r="I28" s="35"/>
    </row>
    <row r="29" spans="1:12" ht="24" customHeight="1" x14ac:dyDescent="0.25">
      <c r="A29" s="34">
        <f t="shared" si="0"/>
        <v>23</v>
      </c>
      <c r="B29" s="158"/>
      <c r="C29" s="584"/>
      <c r="D29" s="585"/>
      <c r="E29" s="585"/>
      <c r="F29" s="585"/>
      <c r="G29" s="585"/>
      <c r="H29" s="586"/>
      <c r="I29" s="35"/>
    </row>
    <row r="30" spans="1:12" ht="24" customHeight="1" thickBot="1" x14ac:dyDescent="0.3">
      <c r="A30" s="26">
        <f t="shared" si="0"/>
        <v>24</v>
      </c>
      <c r="B30" s="159"/>
      <c r="C30" s="599"/>
      <c r="D30" s="600"/>
      <c r="E30" s="600"/>
      <c r="F30" s="600"/>
      <c r="G30" s="600"/>
      <c r="H30" s="601"/>
      <c r="I30" s="36"/>
    </row>
    <row r="31" spans="1:12" s="49" customFormat="1" ht="3" customHeight="1" x14ac:dyDescent="0.25">
      <c r="A31" s="115"/>
      <c r="B31" s="115"/>
      <c r="C31" s="115"/>
      <c r="D31" s="115"/>
      <c r="E31" s="115"/>
      <c r="F31" s="115"/>
      <c r="G31" s="115"/>
      <c r="H31" s="115"/>
      <c r="I31" s="28"/>
    </row>
    <row r="32" spans="1:12" x14ac:dyDescent="0.25">
      <c r="K32" s="49"/>
      <c r="L32" s="49"/>
    </row>
  </sheetData>
  <mergeCells count="33">
    <mergeCell ref="C28:H28"/>
    <mergeCell ref="C29:H29"/>
    <mergeCell ref="C30:H30"/>
    <mergeCell ref="H3:I3"/>
    <mergeCell ref="H4:I4"/>
    <mergeCell ref="C21:H21"/>
    <mergeCell ref="C22:H22"/>
    <mergeCell ref="C23:H23"/>
    <mergeCell ref="C24:H24"/>
    <mergeCell ref="C25:H25"/>
    <mergeCell ref="C6:H6"/>
    <mergeCell ref="C7:H7"/>
    <mergeCell ref="C8:H8"/>
    <mergeCell ref="C9:H9"/>
    <mergeCell ref="C10:H10"/>
    <mergeCell ref="C11:H11"/>
    <mergeCell ref="C1:F1"/>
    <mergeCell ref="C2:F2"/>
    <mergeCell ref="G1:I1"/>
    <mergeCell ref="G2:I2"/>
    <mergeCell ref="A5:I5"/>
    <mergeCell ref="B3:C3"/>
    <mergeCell ref="C12:H12"/>
    <mergeCell ref="C13:H13"/>
    <mergeCell ref="C14:H14"/>
    <mergeCell ref="C15:H15"/>
    <mergeCell ref="C16:H16"/>
    <mergeCell ref="C27:H27"/>
    <mergeCell ref="C17:H17"/>
    <mergeCell ref="C18:H18"/>
    <mergeCell ref="C19:H19"/>
    <mergeCell ref="C20:H20"/>
    <mergeCell ref="C26:H26"/>
  </mergeCells>
  <pageMargins left="0.78740157480314965" right="0.39370078740157483" top="0.78740157480314965" bottom="0.78740157480314965" header="0" footer="0"/>
  <pageSetup paperSize="9" scale="99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L12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16384" width="9.140625" style="15"/>
  </cols>
  <sheetData>
    <row r="1" spans="1:12" ht="17.45" customHeight="1" x14ac:dyDescent="0.25">
      <c r="A1" s="2"/>
      <c r="B1" s="3"/>
      <c r="C1" s="4"/>
      <c r="D1" s="458" t="str">
        <f>НазваниеКраткое</f>
        <v>Западные ворота - 2017</v>
      </c>
      <c r="E1" s="459"/>
      <c r="F1" s="167" t="s">
        <v>8</v>
      </c>
      <c r="G1" s="168">
        <f>СевернаяРасстояние</f>
        <v>8.32</v>
      </c>
    </row>
    <row r="2" spans="1:12" ht="17.45" customHeight="1" x14ac:dyDescent="0.25">
      <c r="A2" s="5"/>
      <c r="B2" s="6"/>
      <c r="C2" s="7"/>
      <c r="D2" s="458" t="s">
        <v>255</v>
      </c>
      <c r="E2" s="459"/>
      <c r="F2" s="167" t="s">
        <v>10</v>
      </c>
      <c r="G2" s="169" t="s">
        <v>253</v>
      </c>
    </row>
    <row r="3" spans="1:12" ht="17.45" customHeight="1" x14ac:dyDescent="0.25">
      <c r="A3" s="5"/>
      <c r="B3" s="6"/>
      <c r="C3" s="7"/>
      <c r="D3" s="458" t="str">
        <f>ТИ0</f>
        <v>ТИ-0</v>
      </c>
      <c r="E3" s="459"/>
      <c r="F3" s="167" t="s">
        <v>9</v>
      </c>
      <c r="G3" s="170" t="s">
        <v>253</v>
      </c>
    </row>
    <row r="4" spans="1:12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12" ht="240" customHeight="1" x14ac:dyDescent="0.25">
      <c r="A5" s="206">
        <v>1</v>
      </c>
      <c r="B5" s="208">
        <v>0</v>
      </c>
      <c r="C5" s="205">
        <v>0</v>
      </c>
      <c r="D5" s="462"/>
      <c r="E5" s="463"/>
      <c r="F5" s="464"/>
      <c r="G5" s="205">
        <f t="shared" ref="G5:G12" si="0">СевернаяРасстояние-B5</f>
        <v>8.32</v>
      </c>
      <c r="L5" s="172"/>
    </row>
    <row r="6" spans="1:12" ht="120" customHeight="1" x14ac:dyDescent="0.25">
      <c r="A6" s="10">
        <f>1+A5</f>
        <v>2</v>
      </c>
      <c r="B6" s="166">
        <v>2.11</v>
      </c>
      <c r="C6" s="166">
        <f>B6-B5</f>
        <v>2.11</v>
      </c>
      <c r="D6" s="10"/>
      <c r="E6" s="466"/>
      <c r="F6" s="465"/>
      <c r="G6" s="205">
        <f t="shared" si="0"/>
        <v>6.2100000000000009</v>
      </c>
    </row>
    <row r="7" spans="1:12" ht="120" customHeight="1" x14ac:dyDescent="0.25">
      <c r="A7" s="10">
        <f t="shared" ref="A7:A12" si="1">1+A6</f>
        <v>3</v>
      </c>
      <c r="B7" s="166">
        <v>3.1</v>
      </c>
      <c r="C7" s="166">
        <f t="shared" ref="C7:C12" si="2">B7-B6</f>
        <v>0.99000000000000021</v>
      </c>
      <c r="D7" s="10"/>
      <c r="E7" s="453"/>
      <c r="F7" s="465"/>
      <c r="G7" s="205">
        <f t="shared" si="0"/>
        <v>5.2200000000000006</v>
      </c>
    </row>
    <row r="8" spans="1:12" ht="120" customHeight="1" x14ac:dyDescent="0.25">
      <c r="A8" s="10">
        <f t="shared" si="1"/>
        <v>4</v>
      </c>
      <c r="B8" s="166">
        <v>4.0999999999999996</v>
      </c>
      <c r="C8" s="166">
        <f t="shared" si="2"/>
        <v>0.99999999999999956</v>
      </c>
      <c r="D8" s="10"/>
      <c r="E8" s="453"/>
      <c r="F8" s="454"/>
      <c r="G8" s="205">
        <f t="shared" si="0"/>
        <v>4.2200000000000006</v>
      </c>
    </row>
    <row r="9" spans="1:12" ht="120" customHeight="1" x14ac:dyDescent="0.25">
      <c r="A9" s="10">
        <f t="shared" si="1"/>
        <v>5</v>
      </c>
      <c r="B9" s="166">
        <v>6.69</v>
      </c>
      <c r="C9" s="166">
        <f t="shared" si="2"/>
        <v>2.5900000000000007</v>
      </c>
      <c r="D9" s="10"/>
      <c r="E9" s="453"/>
      <c r="F9" s="454"/>
      <c r="G9" s="205">
        <f t="shared" si="0"/>
        <v>1.63</v>
      </c>
    </row>
    <row r="10" spans="1:12" ht="120" customHeight="1" x14ac:dyDescent="0.25">
      <c r="A10" s="10">
        <f t="shared" si="1"/>
        <v>6</v>
      </c>
      <c r="B10" s="166">
        <v>8.16</v>
      </c>
      <c r="C10" s="166">
        <f t="shared" si="2"/>
        <v>1.4699999999999998</v>
      </c>
      <c r="D10" s="10"/>
      <c r="E10" s="453"/>
      <c r="F10" s="454"/>
      <c r="G10" s="205">
        <f t="shared" si="0"/>
        <v>0.16000000000000014</v>
      </c>
    </row>
    <row r="11" spans="1:12" ht="240" customHeight="1" x14ac:dyDescent="0.25">
      <c r="A11" s="10">
        <f t="shared" si="1"/>
        <v>7</v>
      </c>
      <c r="B11" s="166">
        <v>8.23</v>
      </c>
      <c r="C11" s="166">
        <f t="shared" si="2"/>
        <v>7.0000000000000284E-2</v>
      </c>
      <c r="D11" s="455"/>
      <c r="E11" s="456"/>
      <c r="F11" s="457"/>
      <c r="G11" s="11">
        <f t="shared" si="0"/>
        <v>8.9999999999999858E-2</v>
      </c>
    </row>
    <row r="12" spans="1:12" ht="120" customHeight="1" x14ac:dyDescent="0.25">
      <c r="A12" s="10">
        <f t="shared" si="1"/>
        <v>8</v>
      </c>
      <c r="B12" s="166">
        <v>8.32</v>
      </c>
      <c r="C12" s="166">
        <f t="shared" si="2"/>
        <v>8.9999999999999858E-2</v>
      </c>
      <c r="D12" s="171"/>
      <c r="E12" s="453" t="s">
        <v>386</v>
      </c>
      <c r="F12" s="454"/>
      <c r="G12" s="11">
        <f t="shared" si="0"/>
        <v>0</v>
      </c>
    </row>
  </sheetData>
  <mergeCells count="12">
    <mergeCell ref="E9:F9"/>
    <mergeCell ref="D11:F11"/>
    <mergeCell ref="E10:F10"/>
    <mergeCell ref="E12:F12"/>
    <mergeCell ref="D1:E1"/>
    <mergeCell ref="D2:E2"/>
    <mergeCell ref="D3:E3"/>
    <mergeCell ref="E4:F4"/>
    <mergeCell ref="D5:F5"/>
    <mergeCell ref="E7:F7"/>
    <mergeCell ref="E8:F8"/>
    <mergeCell ref="E6:F6"/>
  </mergeCells>
  <pageMargins left="0.39370078740157483" right="0.39370078740157483" top="0.39370078740157483" bottom="0.39370078740157483" header="0" footer="0"/>
  <pageSetup paperSize="9" orientation="portrait" horizontalDpi="200" verticalDpi="200" r:id="rId1"/>
  <headerFooter>
    <oddFooter>Страница 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L64"/>
  <sheetViews>
    <sheetView view="pageBreakPreview" zoomScaleSheetLayoutView="100" workbookViewId="0">
      <selection activeCell="K11" sqref="K11"/>
    </sheetView>
  </sheetViews>
  <sheetFormatPr defaultColWidth="9.140625" defaultRowHeight="15" x14ac:dyDescent="0.25"/>
  <cols>
    <col min="1" max="6" width="9.140625" style="17"/>
    <col min="7" max="7" width="9.140625" style="17" customWidth="1"/>
    <col min="8" max="10" width="9.140625" style="17"/>
    <col min="11" max="11" width="22.42578125" style="17" customWidth="1"/>
    <col min="12" max="16384" width="9.140625" style="17"/>
  </cols>
  <sheetData>
    <row r="1" spans="1:12" ht="21" customHeight="1" x14ac:dyDescent="0.25">
      <c r="A1" s="31"/>
      <c r="B1" s="163"/>
      <c r="C1" s="587" t="str">
        <f>НазваниеКраткое</f>
        <v>Западные ворота - 2017</v>
      </c>
      <c r="D1" s="582"/>
      <c r="E1" s="582"/>
      <c r="F1" s="588"/>
      <c r="G1" s="590" t="str">
        <f ca="1">INDIRECT(ADDRESS(L3,1,,,"Общее"))</f>
        <v>КВ-0 Старт / ДС-1 РД Старт</v>
      </c>
      <c r="H1" s="591"/>
      <c r="I1" s="592"/>
    </row>
    <row r="2" spans="1:12" ht="21" customHeight="1" thickBot="1" x14ac:dyDescent="0.3">
      <c r="A2" s="31"/>
      <c r="B2" s="164"/>
      <c r="C2" s="583" t="s">
        <v>11</v>
      </c>
      <c r="D2" s="583"/>
      <c r="E2" s="583"/>
      <c r="F2" s="589"/>
      <c r="G2" s="593" t="s">
        <v>540</v>
      </c>
      <c r="H2" s="594"/>
      <c r="I2" s="595"/>
    </row>
    <row r="3" spans="1:12" ht="21" customHeight="1" x14ac:dyDescent="0.25">
      <c r="A3" s="106" t="s">
        <v>12</v>
      </c>
      <c r="B3" s="597" t="str">
        <f ca="1">INDIRECT(ADDRESS(L3,14,,,"Общее"))</f>
        <v>Борисов</v>
      </c>
      <c r="C3" s="598"/>
      <c r="D3" s="107" t="s">
        <v>184</v>
      </c>
      <c r="E3" s="112" t="s">
        <v>181</v>
      </c>
      <c r="F3" s="110">
        <f ca="1">INDIRECT(ADDRESS(L3,11,,,"Общее"))</f>
        <v>0.41666666666666669</v>
      </c>
      <c r="G3" s="112" t="s">
        <v>180</v>
      </c>
      <c r="H3" s="602" t="s">
        <v>225</v>
      </c>
      <c r="I3" s="603"/>
      <c r="K3" s="17" t="s">
        <v>207</v>
      </c>
      <c r="L3" s="17">
        <v>13</v>
      </c>
    </row>
    <row r="4" spans="1:12" ht="21" customHeight="1" thickBot="1" x14ac:dyDescent="0.3">
      <c r="A4" s="108" t="s">
        <v>183</v>
      </c>
      <c r="B4" s="161"/>
      <c r="C4" s="114"/>
      <c r="D4" s="109" t="s">
        <v>185</v>
      </c>
      <c r="E4" s="113" t="s">
        <v>181</v>
      </c>
      <c r="F4" s="111">
        <f ca="1">INDIRECT(ADDRESS(L3,13,,,"Общее"))</f>
        <v>0.44513888888888892</v>
      </c>
      <c r="G4" s="113" t="s">
        <v>180</v>
      </c>
      <c r="H4" s="604" t="s">
        <v>225</v>
      </c>
      <c r="I4" s="605"/>
    </row>
    <row r="5" spans="1:12" ht="50.1" customHeight="1" thickBot="1" x14ac:dyDescent="0.3">
      <c r="A5" s="628" t="s">
        <v>319</v>
      </c>
      <c r="B5" s="628"/>
      <c r="C5" s="628"/>
      <c r="D5" s="628"/>
      <c r="E5" s="628"/>
      <c r="F5" s="628"/>
      <c r="G5" s="628"/>
      <c r="H5" s="628"/>
      <c r="I5" s="628"/>
    </row>
    <row r="6" spans="1:12" ht="21" customHeight="1" x14ac:dyDescent="0.25">
      <c r="A6" s="629"/>
      <c r="B6" s="631" t="s">
        <v>0</v>
      </c>
      <c r="C6" s="633" t="s">
        <v>316</v>
      </c>
      <c r="D6" s="634"/>
      <c r="E6" s="633" t="s">
        <v>317</v>
      </c>
      <c r="F6" s="634"/>
      <c r="G6" s="637" t="s">
        <v>90</v>
      </c>
      <c r="H6" s="638"/>
      <c r="I6" s="639"/>
    </row>
    <row r="7" spans="1:12" ht="21" customHeight="1" x14ac:dyDescent="0.25">
      <c r="A7" s="630"/>
      <c r="B7" s="632"/>
      <c r="C7" s="635" t="s">
        <v>226</v>
      </c>
      <c r="D7" s="636"/>
      <c r="E7" s="635" t="s">
        <v>226</v>
      </c>
      <c r="F7" s="636"/>
      <c r="G7" s="640"/>
      <c r="H7" s="641"/>
      <c r="I7" s="642"/>
    </row>
    <row r="8" spans="1:12" ht="24" customHeight="1" x14ac:dyDescent="0.25">
      <c r="A8" s="40">
        <v>1</v>
      </c>
      <c r="B8" s="215" t="s">
        <v>542</v>
      </c>
      <c r="C8" s="626" t="s">
        <v>539</v>
      </c>
      <c r="D8" s="627"/>
      <c r="E8" s="618" t="s">
        <v>225</v>
      </c>
      <c r="F8" s="619"/>
      <c r="G8" s="609"/>
      <c r="H8" s="610"/>
      <c r="I8" s="615"/>
    </row>
    <row r="9" spans="1:12" ht="24" customHeight="1" x14ac:dyDescent="0.25">
      <c r="A9" s="34">
        <f>1+A8</f>
        <v>2</v>
      </c>
      <c r="B9" s="155" t="s">
        <v>101</v>
      </c>
      <c r="C9" s="622" t="s">
        <v>390</v>
      </c>
      <c r="D9" s="623"/>
      <c r="E9" s="616" t="s">
        <v>225</v>
      </c>
      <c r="F9" s="617"/>
      <c r="G9" s="584"/>
      <c r="H9" s="585"/>
      <c r="I9" s="613"/>
    </row>
    <row r="10" spans="1:12" ht="24" customHeight="1" x14ac:dyDescent="0.25">
      <c r="A10" s="34">
        <f t="shared" ref="A10:A31" si="0">1+A9</f>
        <v>3</v>
      </c>
      <c r="B10" s="155" t="s">
        <v>102</v>
      </c>
      <c r="C10" s="622" t="s">
        <v>391</v>
      </c>
      <c r="D10" s="623"/>
      <c r="E10" s="616" t="s">
        <v>225</v>
      </c>
      <c r="F10" s="617"/>
      <c r="G10" s="584"/>
      <c r="H10" s="585"/>
      <c r="I10" s="613"/>
    </row>
    <row r="11" spans="1:12" ht="24" customHeight="1" x14ac:dyDescent="0.25">
      <c r="A11" s="34">
        <f t="shared" si="0"/>
        <v>4</v>
      </c>
      <c r="B11" s="155" t="s">
        <v>103</v>
      </c>
      <c r="C11" s="622" t="s">
        <v>392</v>
      </c>
      <c r="D11" s="623"/>
      <c r="E11" s="616" t="s">
        <v>225</v>
      </c>
      <c r="F11" s="617"/>
      <c r="G11" s="584"/>
      <c r="H11" s="585"/>
      <c r="I11" s="613"/>
    </row>
    <row r="12" spans="1:12" ht="24" customHeight="1" x14ac:dyDescent="0.25">
      <c r="A12" s="34">
        <f t="shared" si="0"/>
        <v>5</v>
      </c>
      <c r="B12" s="155" t="s">
        <v>104</v>
      </c>
      <c r="C12" s="622" t="s">
        <v>393</v>
      </c>
      <c r="D12" s="623"/>
      <c r="E12" s="616" t="s">
        <v>225</v>
      </c>
      <c r="F12" s="617"/>
      <c r="G12" s="584"/>
      <c r="H12" s="585"/>
      <c r="I12" s="613"/>
    </row>
    <row r="13" spans="1:12" ht="24" customHeight="1" x14ac:dyDescent="0.25">
      <c r="A13" s="34">
        <f t="shared" si="0"/>
        <v>6</v>
      </c>
      <c r="B13" s="155" t="s">
        <v>105</v>
      </c>
      <c r="C13" s="622" t="s">
        <v>394</v>
      </c>
      <c r="D13" s="623"/>
      <c r="E13" s="616" t="s">
        <v>225</v>
      </c>
      <c r="F13" s="617"/>
      <c r="G13" s="584"/>
      <c r="H13" s="585"/>
      <c r="I13" s="613"/>
    </row>
    <row r="14" spans="1:12" ht="24" customHeight="1" x14ac:dyDescent="0.25">
      <c r="A14" s="34">
        <f t="shared" si="0"/>
        <v>7</v>
      </c>
      <c r="B14" s="155" t="s">
        <v>106</v>
      </c>
      <c r="C14" s="622" t="s">
        <v>395</v>
      </c>
      <c r="D14" s="623"/>
      <c r="E14" s="616" t="s">
        <v>225</v>
      </c>
      <c r="F14" s="617"/>
      <c r="G14" s="584"/>
      <c r="H14" s="585"/>
      <c r="I14" s="613"/>
    </row>
    <row r="15" spans="1:12" ht="24" customHeight="1" x14ac:dyDescent="0.25">
      <c r="A15" s="34">
        <f t="shared" si="0"/>
        <v>8</v>
      </c>
      <c r="B15" s="155" t="s">
        <v>107</v>
      </c>
      <c r="C15" s="622" t="s">
        <v>396</v>
      </c>
      <c r="D15" s="623"/>
      <c r="E15" s="616" t="s">
        <v>225</v>
      </c>
      <c r="F15" s="617"/>
      <c r="G15" s="584"/>
      <c r="H15" s="585"/>
      <c r="I15" s="613"/>
    </row>
    <row r="16" spans="1:12" ht="24" customHeight="1" x14ac:dyDescent="0.25">
      <c r="A16" s="34">
        <f t="shared" si="0"/>
        <v>9</v>
      </c>
      <c r="B16" s="155" t="s">
        <v>108</v>
      </c>
      <c r="C16" s="622" t="s">
        <v>397</v>
      </c>
      <c r="D16" s="623"/>
      <c r="E16" s="616" t="s">
        <v>225</v>
      </c>
      <c r="F16" s="617"/>
      <c r="G16" s="584"/>
      <c r="H16" s="585"/>
      <c r="I16" s="613"/>
    </row>
    <row r="17" spans="1:12" ht="24" customHeight="1" x14ac:dyDescent="0.25">
      <c r="A17" s="34">
        <f t="shared" si="0"/>
        <v>10</v>
      </c>
      <c r="B17" s="155" t="s">
        <v>109</v>
      </c>
      <c r="C17" s="622" t="s">
        <v>398</v>
      </c>
      <c r="D17" s="623"/>
      <c r="E17" s="616" t="s">
        <v>225</v>
      </c>
      <c r="F17" s="617"/>
      <c r="G17" s="584"/>
      <c r="H17" s="585"/>
      <c r="I17" s="613"/>
    </row>
    <row r="18" spans="1:12" ht="24" customHeight="1" x14ac:dyDescent="0.25">
      <c r="A18" s="34">
        <f t="shared" si="0"/>
        <v>11</v>
      </c>
      <c r="B18" s="155" t="s">
        <v>110</v>
      </c>
      <c r="C18" s="622" t="s">
        <v>399</v>
      </c>
      <c r="D18" s="623"/>
      <c r="E18" s="616" t="s">
        <v>225</v>
      </c>
      <c r="F18" s="617"/>
      <c r="G18" s="584"/>
      <c r="H18" s="585"/>
      <c r="I18" s="613"/>
    </row>
    <row r="19" spans="1:12" ht="24" customHeight="1" x14ac:dyDescent="0.25">
      <c r="A19" s="34">
        <f t="shared" si="0"/>
        <v>12</v>
      </c>
      <c r="B19" s="155" t="s">
        <v>47</v>
      </c>
      <c r="C19" s="622" t="s">
        <v>400</v>
      </c>
      <c r="D19" s="623"/>
      <c r="E19" s="616" t="s">
        <v>225</v>
      </c>
      <c r="F19" s="617"/>
      <c r="G19" s="584"/>
      <c r="H19" s="585"/>
      <c r="I19" s="613"/>
    </row>
    <row r="20" spans="1:12" ht="24" customHeight="1" x14ac:dyDescent="0.25">
      <c r="A20" s="34">
        <f t="shared" si="0"/>
        <v>13</v>
      </c>
      <c r="B20" s="155" t="s">
        <v>111</v>
      </c>
      <c r="C20" s="622" t="s">
        <v>401</v>
      </c>
      <c r="D20" s="623"/>
      <c r="E20" s="616" t="s">
        <v>225</v>
      </c>
      <c r="F20" s="617"/>
      <c r="G20" s="584"/>
      <c r="H20" s="585"/>
      <c r="I20" s="613"/>
    </row>
    <row r="21" spans="1:12" ht="24" customHeight="1" x14ac:dyDescent="0.25">
      <c r="A21" s="34">
        <f t="shared" si="0"/>
        <v>14</v>
      </c>
      <c r="B21" s="155" t="s">
        <v>43</v>
      </c>
      <c r="C21" s="622" t="s">
        <v>402</v>
      </c>
      <c r="D21" s="623"/>
      <c r="E21" s="616" t="s">
        <v>225</v>
      </c>
      <c r="F21" s="617"/>
      <c r="G21" s="584"/>
      <c r="H21" s="585"/>
      <c r="I21" s="613"/>
    </row>
    <row r="22" spans="1:12" ht="24" customHeight="1" x14ac:dyDescent="0.25">
      <c r="A22" s="34">
        <f t="shared" si="0"/>
        <v>15</v>
      </c>
      <c r="B22" s="155" t="s">
        <v>112</v>
      </c>
      <c r="C22" s="622" t="s">
        <v>403</v>
      </c>
      <c r="D22" s="623"/>
      <c r="E22" s="616" t="s">
        <v>225</v>
      </c>
      <c r="F22" s="617"/>
      <c r="G22" s="584"/>
      <c r="H22" s="585"/>
      <c r="I22" s="613"/>
    </row>
    <row r="23" spans="1:12" ht="24" customHeight="1" x14ac:dyDescent="0.25">
      <c r="A23" s="34">
        <f t="shared" si="0"/>
        <v>16</v>
      </c>
      <c r="B23" s="155" t="s">
        <v>543</v>
      </c>
      <c r="C23" s="622" t="s">
        <v>404</v>
      </c>
      <c r="D23" s="623"/>
      <c r="E23" s="616" t="s">
        <v>225</v>
      </c>
      <c r="F23" s="617"/>
      <c r="G23" s="584"/>
      <c r="H23" s="585"/>
      <c r="I23" s="613"/>
    </row>
    <row r="24" spans="1:12" ht="24" customHeight="1" x14ac:dyDescent="0.25">
      <c r="A24" s="34">
        <f t="shared" si="0"/>
        <v>17</v>
      </c>
      <c r="B24" s="155" t="s">
        <v>544</v>
      </c>
      <c r="C24" s="622" t="s">
        <v>405</v>
      </c>
      <c r="D24" s="623"/>
      <c r="E24" s="616" t="s">
        <v>225</v>
      </c>
      <c r="F24" s="617"/>
      <c r="G24" s="584"/>
      <c r="H24" s="585"/>
      <c r="I24" s="613"/>
    </row>
    <row r="25" spans="1:12" ht="24" customHeight="1" x14ac:dyDescent="0.25">
      <c r="A25" s="34">
        <f t="shared" si="0"/>
        <v>18</v>
      </c>
      <c r="B25" s="155" t="s">
        <v>545</v>
      </c>
      <c r="C25" s="622" t="s">
        <v>406</v>
      </c>
      <c r="D25" s="623"/>
      <c r="E25" s="616" t="s">
        <v>225</v>
      </c>
      <c r="F25" s="617"/>
      <c r="G25" s="584"/>
      <c r="H25" s="585"/>
      <c r="I25" s="613"/>
    </row>
    <row r="26" spans="1:12" ht="24" customHeight="1" x14ac:dyDescent="0.25">
      <c r="A26" s="34">
        <f t="shared" si="0"/>
        <v>19</v>
      </c>
      <c r="B26" s="155" t="s">
        <v>546</v>
      </c>
      <c r="C26" s="622" t="s">
        <v>407</v>
      </c>
      <c r="D26" s="623"/>
      <c r="E26" s="616" t="s">
        <v>225</v>
      </c>
      <c r="F26" s="617"/>
      <c r="G26" s="584"/>
      <c r="H26" s="585"/>
      <c r="I26" s="613"/>
    </row>
    <row r="27" spans="1:12" ht="24" customHeight="1" x14ac:dyDescent="0.25">
      <c r="A27" s="34">
        <f t="shared" si="0"/>
        <v>20</v>
      </c>
      <c r="B27" s="155" t="s">
        <v>547</v>
      </c>
      <c r="C27" s="622" t="s">
        <v>408</v>
      </c>
      <c r="D27" s="623"/>
      <c r="E27" s="616" t="s">
        <v>225</v>
      </c>
      <c r="F27" s="617"/>
      <c r="G27" s="584"/>
      <c r="H27" s="585"/>
      <c r="I27" s="613"/>
    </row>
    <row r="28" spans="1:12" ht="24" customHeight="1" x14ac:dyDescent="0.25">
      <c r="A28" s="34">
        <f t="shared" si="0"/>
        <v>21</v>
      </c>
      <c r="B28" s="155" t="s">
        <v>548</v>
      </c>
      <c r="C28" s="622" t="s">
        <v>409</v>
      </c>
      <c r="D28" s="623"/>
      <c r="E28" s="616" t="s">
        <v>225</v>
      </c>
      <c r="F28" s="617"/>
      <c r="G28" s="584"/>
      <c r="H28" s="585"/>
      <c r="I28" s="613"/>
    </row>
    <row r="29" spans="1:12" ht="24" customHeight="1" x14ac:dyDescent="0.25">
      <c r="A29" s="34">
        <f t="shared" si="0"/>
        <v>22</v>
      </c>
      <c r="B29" s="155" t="s">
        <v>549</v>
      </c>
      <c r="C29" s="622" t="s">
        <v>410</v>
      </c>
      <c r="D29" s="623"/>
      <c r="E29" s="616" t="s">
        <v>225</v>
      </c>
      <c r="F29" s="617"/>
      <c r="G29" s="584"/>
      <c r="H29" s="585"/>
      <c r="I29" s="613"/>
    </row>
    <row r="30" spans="1:12" ht="24" customHeight="1" x14ac:dyDescent="0.25">
      <c r="A30" s="34">
        <f t="shared" si="0"/>
        <v>23</v>
      </c>
      <c r="B30" s="155" t="s">
        <v>550</v>
      </c>
      <c r="C30" s="622" t="s">
        <v>411</v>
      </c>
      <c r="D30" s="623"/>
      <c r="E30" s="616" t="s">
        <v>225</v>
      </c>
      <c r="F30" s="617"/>
      <c r="G30" s="584"/>
      <c r="H30" s="585"/>
      <c r="I30" s="613"/>
    </row>
    <row r="31" spans="1:12" ht="24" customHeight="1" thickBot="1" x14ac:dyDescent="0.3">
      <c r="A31" s="34">
        <f t="shared" si="0"/>
        <v>24</v>
      </c>
      <c r="B31" s="156" t="s">
        <v>551</v>
      </c>
      <c r="C31" s="624" t="s">
        <v>412</v>
      </c>
      <c r="D31" s="625"/>
      <c r="E31" s="620" t="s">
        <v>225</v>
      </c>
      <c r="F31" s="621"/>
      <c r="G31" s="599"/>
      <c r="H31" s="600"/>
      <c r="I31" s="614"/>
      <c r="K31" s="49"/>
      <c r="L31" s="49"/>
    </row>
    <row r="32" spans="1:12" s="49" customFormat="1" ht="3" customHeight="1" thickBot="1" x14ac:dyDescent="0.3">
      <c r="A32" s="32"/>
      <c r="B32" s="32"/>
      <c r="C32" s="32"/>
      <c r="D32" s="32"/>
      <c r="E32" s="32"/>
      <c r="F32" s="32"/>
      <c r="G32" s="612"/>
      <c r="H32" s="612"/>
      <c r="I32" s="612"/>
    </row>
    <row r="33" spans="1:12" ht="21" customHeight="1" x14ac:dyDescent="0.25">
      <c r="A33" s="31"/>
      <c r="B33" s="163"/>
      <c r="C33" s="587" t="str">
        <f>НазваниеКраткое</f>
        <v>Западные ворота - 2017</v>
      </c>
      <c r="D33" s="582"/>
      <c r="E33" s="582"/>
      <c r="F33" s="588"/>
      <c r="G33" s="590" t="str">
        <f ca="1">INDIRECT(ADDRESS(L35,1,,,"Общее"))</f>
        <v>КВ-0 Старт / ДС-1 РД Старт</v>
      </c>
      <c r="H33" s="591"/>
      <c r="I33" s="592"/>
    </row>
    <row r="34" spans="1:12" ht="21" customHeight="1" thickBot="1" x14ac:dyDescent="0.3">
      <c r="A34" s="31"/>
      <c r="B34" s="164"/>
      <c r="C34" s="583" t="s">
        <v>11</v>
      </c>
      <c r="D34" s="583"/>
      <c r="E34" s="583"/>
      <c r="F34" s="589"/>
      <c r="G34" s="593" t="s">
        <v>541</v>
      </c>
      <c r="H34" s="594"/>
      <c r="I34" s="595"/>
    </row>
    <row r="35" spans="1:12" ht="21" customHeight="1" x14ac:dyDescent="0.25">
      <c r="A35" s="106" t="s">
        <v>12</v>
      </c>
      <c r="B35" s="597" t="str">
        <f ca="1">INDIRECT(ADDRESS(L35,14,,,"Общее"))</f>
        <v>Борисов</v>
      </c>
      <c r="C35" s="598"/>
      <c r="D35" s="107" t="s">
        <v>184</v>
      </c>
      <c r="E35" s="112" t="s">
        <v>181</v>
      </c>
      <c r="F35" s="110">
        <f ca="1">INDIRECT(ADDRESS(L35,11,,,"Общее"))</f>
        <v>0.41666666666666669</v>
      </c>
      <c r="G35" s="112" t="s">
        <v>180</v>
      </c>
      <c r="H35" s="602" t="s">
        <v>225</v>
      </c>
      <c r="I35" s="603"/>
      <c r="K35" s="17" t="s">
        <v>207</v>
      </c>
      <c r="L35" s="17">
        <v>13</v>
      </c>
    </row>
    <row r="36" spans="1:12" ht="21" customHeight="1" thickBot="1" x14ac:dyDescent="0.3">
      <c r="A36" s="108" t="s">
        <v>183</v>
      </c>
      <c r="B36" s="161"/>
      <c r="C36" s="114"/>
      <c r="D36" s="109" t="s">
        <v>185</v>
      </c>
      <c r="E36" s="113" t="s">
        <v>181</v>
      </c>
      <c r="F36" s="111">
        <f ca="1">INDIRECT(ADDRESS(L35,13,,,"Общее"))</f>
        <v>0.44513888888888892</v>
      </c>
      <c r="G36" s="113" t="s">
        <v>180</v>
      </c>
      <c r="H36" s="604" t="s">
        <v>225</v>
      </c>
      <c r="I36" s="605"/>
    </row>
    <row r="37" spans="1:12" ht="50.1" customHeight="1" thickBot="1" x14ac:dyDescent="0.3">
      <c r="A37" s="628" t="s">
        <v>319</v>
      </c>
      <c r="B37" s="628"/>
      <c r="C37" s="628"/>
      <c r="D37" s="628"/>
      <c r="E37" s="628"/>
      <c r="F37" s="628"/>
      <c r="G37" s="628"/>
      <c r="H37" s="628"/>
      <c r="I37" s="628"/>
    </row>
    <row r="38" spans="1:12" ht="21" customHeight="1" x14ac:dyDescent="0.25">
      <c r="A38" s="629"/>
      <c r="B38" s="631" t="s">
        <v>0</v>
      </c>
      <c r="C38" s="633" t="s">
        <v>316</v>
      </c>
      <c r="D38" s="634"/>
      <c r="E38" s="633" t="s">
        <v>317</v>
      </c>
      <c r="F38" s="634"/>
      <c r="G38" s="637" t="s">
        <v>90</v>
      </c>
      <c r="H38" s="638"/>
      <c r="I38" s="639"/>
    </row>
    <row r="39" spans="1:12" ht="21" customHeight="1" x14ac:dyDescent="0.25">
      <c r="A39" s="630"/>
      <c r="B39" s="632"/>
      <c r="C39" s="635" t="s">
        <v>226</v>
      </c>
      <c r="D39" s="636"/>
      <c r="E39" s="635" t="s">
        <v>226</v>
      </c>
      <c r="F39" s="636"/>
      <c r="G39" s="640"/>
      <c r="H39" s="641"/>
      <c r="I39" s="642"/>
    </row>
    <row r="40" spans="1:12" ht="24" customHeight="1" x14ac:dyDescent="0.25">
      <c r="A40" s="40">
        <v>1</v>
      </c>
      <c r="B40" s="399" t="s">
        <v>552</v>
      </c>
      <c r="C40" s="626" t="s">
        <v>413</v>
      </c>
      <c r="D40" s="627"/>
      <c r="E40" s="618" t="s">
        <v>225</v>
      </c>
      <c r="F40" s="619"/>
      <c r="G40" s="609"/>
      <c r="H40" s="610"/>
      <c r="I40" s="615"/>
    </row>
    <row r="41" spans="1:12" ht="24" customHeight="1" x14ac:dyDescent="0.25">
      <c r="A41" s="34">
        <f>1+A40</f>
        <v>2</v>
      </c>
      <c r="B41" s="155" t="s">
        <v>553</v>
      </c>
      <c r="C41" s="622" t="s">
        <v>414</v>
      </c>
      <c r="D41" s="623"/>
      <c r="E41" s="616" t="s">
        <v>225</v>
      </c>
      <c r="F41" s="617"/>
      <c r="G41" s="584"/>
      <c r="H41" s="585"/>
      <c r="I41" s="613"/>
    </row>
    <row r="42" spans="1:12" ht="24" customHeight="1" x14ac:dyDescent="0.25">
      <c r="A42" s="34">
        <f t="shared" ref="A42:A63" si="1">1+A41</f>
        <v>3</v>
      </c>
      <c r="B42" s="155" t="s">
        <v>554</v>
      </c>
      <c r="C42" s="622" t="s">
        <v>415</v>
      </c>
      <c r="D42" s="623"/>
      <c r="E42" s="616" t="s">
        <v>225</v>
      </c>
      <c r="F42" s="617"/>
      <c r="G42" s="584"/>
      <c r="H42" s="585"/>
      <c r="I42" s="613"/>
    </row>
    <row r="43" spans="1:12" ht="24" customHeight="1" x14ac:dyDescent="0.25">
      <c r="A43" s="34">
        <f t="shared" si="1"/>
        <v>4</v>
      </c>
      <c r="B43" s="155" t="s">
        <v>555</v>
      </c>
      <c r="C43" s="622" t="s">
        <v>416</v>
      </c>
      <c r="D43" s="623"/>
      <c r="E43" s="616" t="s">
        <v>225</v>
      </c>
      <c r="F43" s="617"/>
      <c r="G43" s="584"/>
      <c r="H43" s="585"/>
      <c r="I43" s="613"/>
    </row>
    <row r="44" spans="1:12" ht="24" customHeight="1" x14ac:dyDescent="0.25">
      <c r="A44" s="34">
        <f t="shared" si="1"/>
        <v>5</v>
      </c>
      <c r="B44" s="155"/>
      <c r="C44" s="622" t="s">
        <v>417</v>
      </c>
      <c r="D44" s="623"/>
      <c r="E44" s="616" t="s">
        <v>225</v>
      </c>
      <c r="F44" s="617"/>
      <c r="G44" s="584"/>
      <c r="H44" s="585"/>
      <c r="I44" s="613"/>
    </row>
    <row r="45" spans="1:12" ht="24" customHeight="1" x14ac:dyDescent="0.25">
      <c r="A45" s="34">
        <f t="shared" si="1"/>
        <v>6</v>
      </c>
      <c r="B45" s="155" t="s">
        <v>556</v>
      </c>
      <c r="C45" s="622" t="s">
        <v>418</v>
      </c>
      <c r="D45" s="623"/>
      <c r="E45" s="616" t="s">
        <v>225</v>
      </c>
      <c r="F45" s="617"/>
      <c r="G45" s="584"/>
      <c r="H45" s="585"/>
      <c r="I45" s="613"/>
    </row>
    <row r="46" spans="1:12" ht="24" customHeight="1" x14ac:dyDescent="0.25">
      <c r="A46" s="34">
        <f t="shared" si="1"/>
        <v>7</v>
      </c>
      <c r="B46" s="155" t="s">
        <v>557</v>
      </c>
      <c r="C46" s="622" t="s">
        <v>419</v>
      </c>
      <c r="D46" s="623"/>
      <c r="E46" s="616" t="s">
        <v>225</v>
      </c>
      <c r="F46" s="617"/>
      <c r="G46" s="584"/>
      <c r="H46" s="585"/>
      <c r="I46" s="613"/>
    </row>
    <row r="47" spans="1:12" ht="24" customHeight="1" x14ac:dyDescent="0.25">
      <c r="A47" s="34">
        <f t="shared" si="1"/>
        <v>8</v>
      </c>
      <c r="B47" s="155" t="s">
        <v>558</v>
      </c>
      <c r="C47" s="622" t="s">
        <v>420</v>
      </c>
      <c r="D47" s="623"/>
      <c r="E47" s="616" t="s">
        <v>225</v>
      </c>
      <c r="F47" s="617"/>
      <c r="G47" s="584"/>
      <c r="H47" s="585"/>
      <c r="I47" s="613"/>
    </row>
    <row r="48" spans="1:12" ht="24" customHeight="1" x14ac:dyDescent="0.25">
      <c r="A48" s="34">
        <f t="shared" si="1"/>
        <v>9</v>
      </c>
      <c r="B48" s="155"/>
      <c r="C48" s="616" t="s">
        <v>225</v>
      </c>
      <c r="D48" s="617"/>
      <c r="E48" s="616" t="s">
        <v>225</v>
      </c>
      <c r="F48" s="617"/>
      <c r="G48" s="584"/>
      <c r="H48" s="585"/>
      <c r="I48" s="613"/>
    </row>
    <row r="49" spans="1:12" ht="24" customHeight="1" x14ac:dyDescent="0.25">
      <c r="A49" s="34">
        <f t="shared" si="1"/>
        <v>10</v>
      </c>
      <c r="B49" s="155"/>
      <c r="C49" s="616" t="s">
        <v>225</v>
      </c>
      <c r="D49" s="617"/>
      <c r="E49" s="616" t="s">
        <v>225</v>
      </c>
      <c r="F49" s="617"/>
      <c r="G49" s="584"/>
      <c r="H49" s="585"/>
      <c r="I49" s="613"/>
    </row>
    <row r="50" spans="1:12" ht="24" customHeight="1" x14ac:dyDescent="0.25">
      <c r="A50" s="34">
        <f t="shared" si="1"/>
        <v>11</v>
      </c>
      <c r="B50" s="155"/>
      <c r="C50" s="616" t="s">
        <v>225</v>
      </c>
      <c r="D50" s="617"/>
      <c r="E50" s="616" t="s">
        <v>225</v>
      </c>
      <c r="F50" s="617"/>
      <c r="G50" s="584"/>
      <c r="H50" s="585"/>
      <c r="I50" s="613"/>
    </row>
    <row r="51" spans="1:12" ht="24" customHeight="1" x14ac:dyDescent="0.25">
      <c r="A51" s="34">
        <f t="shared" si="1"/>
        <v>12</v>
      </c>
      <c r="B51" s="155"/>
      <c r="C51" s="616" t="s">
        <v>225</v>
      </c>
      <c r="D51" s="617"/>
      <c r="E51" s="616" t="s">
        <v>225</v>
      </c>
      <c r="F51" s="617"/>
      <c r="G51" s="584"/>
      <c r="H51" s="585"/>
      <c r="I51" s="613"/>
    </row>
    <row r="52" spans="1:12" ht="24" customHeight="1" x14ac:dyDescent="0.25">
      <c r="A52" s="34">
        <f t="shared" si="1"/>
        <v>13</v>
      </c>
      <c r="B52" s="155"/>
      <c r="C52" s="616" t="s">
        <v>225</v>
      </c>
      <c r="D52" s="617"/>
      <c r="E52" s="616" t="s">
        <v>225</v>
      </c>
      <c r="F52" s="617"/>
      <c r="G52" s="584"/>
      <c r="H52" s="585"/>
      <c r="I52" s="613"/>
    </row>
    <row r="53" spans="1:12" ht="24" customHeight="1" x14ac:dyDescent="0.25">
      <c r="A53" s="34">
        <f t="shared" si="1"/>
        <v>14</v>
      </c>
      <c r="B53" s="155"/>
      <c r="C53" s="616" t="s">
        <v>225</v>
      </c>
      <c r="D53" s="617"/>
      <c r="E53" s="616" t="s">
        <v>225</v>
      </c>
      <c r="F53" s="617"/>
      <c r="G53" s="584"/>
      <c r="H53" s="585"/>
      <c r="I53" s="613"/>
    </row>
    <row r="54" spans="1:12" ht="24" customHeight="1" x14ac:dyDescent="0.25">
      <c r="A54" s="34">
        <f t="shared" si="1"/>
        <v>15</v>
      </c>
      <c r="B54" s="155"/>
      <c r="C54" s="616" t="s">
        <v>225</v>
      </c>
      <c r="D54" s="617"/>
      <c r="E54" s="616" t="s">
        <v>225</v>
      </c>
      <c r="F54" s="617"/>
      <c r="G54" s="584"/>
      <c r="H54" s="585"/>
      <c r="I54" s="613"/>
    </row>
    <row r="55" spans="1:12" ht="24" customHeight="1" x14ac:dyDescent="0.25">
      <c r="A55" s="34">
        <f t="shared" si="1"/>
        <v>16</v>
      </c>
      <c r="B55" s="155"/>
      <c r="C55" s="616" t="s">
        <v>225</v>
      </c>
      <c r="D55" s="617"/>
      <c r="E55" s="616" t="s">
        <v>225</v>
      </c>
      <c r="F55" s="617"/>
      <c r="G55" s="584"/>
      <c r="H55" s="585"/>
      <c r="I55" s="613"/>
    </row>
    <row r="56" spans="1:12" ht="24" customHeight="1" x14ac:dyDescent="0.25">
      <c r="A56" s="34">
        <f t="shared" si="1"/>
        <v>17</v>
      </c>
      <c r="B56" s="155"/>
      <c r="C56" s="616" t="s">
        <v>225</v>
      </c>
      <c r="D56" s="617"/>
      <c r="E56" s="616" t="s">
        <v>225</v>
      </c>
      <c r="F56" s="617"/>
      <c r="G56" s="584"/>
      <c r="H56" s="585"/>
      <c r="I56" s="613"/>
    </row>
    <row r="57" spans="1:12" ht="24" customHeight="1" x14ac:dyDescent="0.25">
      <c r="A57" s="34">
        <f t="shared" si="1"/>
        <v>18</v>
      </c>
      <c r="B57" s="155"/>
      <c r="C57" s="616" t="s">
        <v>225</v>
      </c>
      <c r="D57" s="617"/>
      <c r="E57" s="616" t="s">
        <v>225</v>
      </c>
      <c r="F57" s="617"/>
      <c r="G57" s="584"/>
      <c r="H57" s="585"/>
      <c r="I57" s="613"/>
    </row>
    <row r="58" spans="1:12" ht="24" customHeight="1" x14ac:dyDescent="0.25">
      <c r="A58" s="34">
        <f t="shared" si="1"/>
        <v>19</v>
      </c>
      <c r="B58" s="155"/>
      <c r="C58" s="616" t="s">
        <v>225</v>
      </c>
      <c r="D58" s="617"/>
      <c r="E58" s="616" t="s">
        <v>225</v>
      </c>
      <c r="F58" s="617"/>
      <c r="G58" s="584"/>
      <c r="H58" s="585"/>
      <c r="I58" s="613"/>
    </row>
    <row r="59" spans="1:12" ht="24" customHeight="1" x14ac:dyDescent="0.25">
      <c r="A59" s="34">
        <f t="shared" si="1"/>
        <v>20</v>
      </c>
      <c r="B59" s="155"/>
      <c r="C59" s="616" t="s">
        <v>225</v>
      </c>
      <c r="D59" s="617"/>
      <c r="E59" s="616" t="s">
        <v>225</v>
      </c>
      <c r="F59" s="617"/>
      <c r="G59" s="584"/>
      <c r="H59" s="585"/>
      <c r="I59" s="613"/>
    </row>
    <row r="60" spans="1:12" ht="24" customHeight="1" x14ac:dyDescent="0.25">
      <c r="A60" s="34">
        <f t="shared" si="1"/>
        <v>21</v>
      </c>
      <c r="B60" s="155"/>
      <c r="C60" s="616" t="s">
        <v>225</v>
      </c>
      <c r="D60" s="617"/>
      <c r="E60" s="616" t="s">
        <v>225</v>
      </c>
      <c r="F60" s="617"/>
      <c r="G60" s="584"/>
      <c r="H60" s="585"/>
      <c r="I60" s="613"/>
    </row>
    <row r="61" spans="1:12" ht="24" customHeight="1" x14ac:dyDescent="0.25">
      <c r="A61" s="34">
        <f t="shared" si="1"/>
        <v>22</v>
      </c>
      <c r="B61" s="155"/>
      <c r="C61" s="616" t="s">
        <v>225</v>
      </c>
      <c r="D61" s="617"/>
      <c r="E61" s="616" t="s">
        <v>225</v>
      </c>
      <c r="F61" s="617"/>
      <c r="G61" s="584"/>
      <c r="H61" s="585"/>
      <c r="I61" s="613"/>
    </row>
    <row r="62" spans="1:12" ht="24" customHeight="1" x14ac:dyDescent="0.25">
      <c r="A62" s="34">
        <f t="shared" si="1"/>
        <v>23</v>
      </c>
      <c r="B62" s="155"/>
      <c r="C62" s="616" t="s">
        <v>225</v>
      </c>
      <c r="D62" s="617"/>
      <c r="E62" s="616" t="s">
        <v>225</v>
      </c>
      <c r="F62" s="617"/>
      <c r="G62" s="584"/>
      <c r="H62" s="585"/>
      <c r="I62" s="613"/>
    </row>
    <row r="63" spans="1:12" ht="24" customHeight="1" thickBot="1" x14ac:dyDescent="0.3">
      <c r="A63" s="34">
        <f t="shared" si="1"/>
        <v>24</v>
      </c>
      <c r="B63" s="156"/>
      <c r="C63" s="620" t="s">
        <v>225</v>
      </c>
      <c r="D63" s="621"/>
      <c r="E63" s="620" t="s">
        <v>225</v>
      </c>
      <c r="F63" s="621"/>
      <c r="G63" s="599"/>
      <c r="H63" s="600"/>
      <c r="I63" s="614"/>
      <c r="K63" s="49"/>
      <c r="L63" s="49"/>
    </row>
    <row r="64" spans="1:12" s="49" customFormat="1" ht="3" customHeight="1" x14ac:dyDescent="0.25">
      <c r="A64" s="398"/>
      <c r="B64" s="398"/>
      <c r="C64" s="398"/>
      <c r="D64" s="398"/>
      <c r="E64" s="398"/>
      <c r="F64" s="398"/>
      <c r="G64" s="612"/>
      <c r="H64" s="612"/>
      <c r="I64" s="612"/>
    </row>
  </sheetData>
  <mergeCells count="176">
    <mergeCell ref="G64:I64"/>
    <mergeCell ref="C62:D62"/>
    <mergeCell ref="E62:F62"/>
    <mergeCell ref="G62:I62"/>
    <mergeCell ref="C63:D63"/>
    <mergeCell ref="E63:F63"/>
    <mergeCell ref="G63:I63"/>
    <mergeCell ref="C60:D60"/>
    <mergeCell ref="E60:F60"/>
    <mergeCell ref="G60:I60"/>
    <mergeCell ref="C61:D61"/>
    <mergeCell ref="E61:F61"/>
    <mergeCell ref="G61:I61"/>
    <mergeCell ref="C58:D58"/>
    <mergeCell ref="E58:F58"/>
    <mergeCell ref="G58:I58"/>
    <mergeCell ref="C59:D59"/>
    <mergeCell ref="E59:F59"/>
    <mergeCell ref="G59:I59"/>
    <mergeCell ref="C56:D56"/>
    <mergeCell ref="E56:F56"/>
    <mergeCell ref="G56:I56"/>
    <mergeCell ref="C57:D57"/>
    <mergeCell ref="E57:F57"/>
    <mergeCell ref="G57:I57"/>
    <mergeCell ref="C54:D54"/>
    <mergeCell ref="E54:F54"/>
    <mergeCell ref="G54:I54"/>
    <mergeCell ref="C55:D55"/>
    <mergeCell ref="E55:F55"/>
    <mergeCell ref="G55:I55"/>
    <mergeCell ref="C52:D52"/>
    <mergeCell ref="E52:F52"/>
    <mergeCell ref="G52:I52"/>
    <mergeCell ref="C53:D53"/>
    <mergeCell ref="E53:F53"/>
    <mergeCell ref="G53:I53"/>
    <mergeCell ref="C50:D50"/>
    <mergeCell ref="E50:F50"/>
    <mergeCell ref="G50:I50"/>
    <mergeCell ref="C51:D51"/>
    <mergeCell ref="E51:F51"/>
    <mergeCell ref="G51:I51"/>
    <mergeCell ref="C48:D48"/>
    <mergeCell ref="E48:F48"/>
    <mergeCell ref="G48:I48"/>
    <mergeCell ref="C49:D49"/>
    <mergeCell ref="E49:F49"/>
    <mergeCell ref="G49:I49"/>
    <mergeCell ref="C46:D46"/>
    <mergeCell ref="E46:F46"/>
    <mergeCell ref="G46:I46"/>
    <mergeCell ref="C47:D47"/>
    <mergeCell ref="E47:F47"/>
    <mergeCell ref="G47:I47"/>
    <mergeCell ref="C44:D44"/>
    <mergeCell ref="E44:F44"/>
    <mergeCell ref="G44:I44"/>
    <mergeCell ref="C45:D45"/>
    <mergeCell ref="E45:F45"/>
    <mergeCell ref="G45:I45"/>
    <mergeCell ref="C42:D42"/>
    <mergeCell ref="E42:F42"/>
    <mergeCell ref="G42:I42"/>
    <mergeCell ref="C43:D43"/>
    <mergeCell ref="E43:F43"/>
    <mergeCell ref="G43:I43"/>
    <mergeCell ref="C40:D40"/>
    <mergeCell ref="E40:F40"/>
    <mergeCell ref="G40:I40"/>
    <mergeCell ref="C41:D41"/>
    <mergeCell ref="E41:F41"/>
    <mergeCell ref="G41:I41"/>
    <mergeCell ref="H36:I36"/>
    <mergeCell ref="A37:I37"/>
    <mergeCell ref="A38:A39"/>
    <mergeCell ref="B38:B39"/>
    <mergeCell ref="C38:D38"/>
    <mergeCell ref="E38:F38"/>
    <mergeCell ref="G38:I39"/>
    <mergeCell ref="C39:D39"/>
    <mergeCell ref="E39:F39"/>
    <mergeCell ref="C33:F33"/>
    <mergeCell ref="G33:I33"/>
    <mergeCell ref="C34:F34"/>
    <mergeCell ref="G34:I34"/>
    <mergeCell ref="B35:C35"/>
    <mergeCell ref="H35:I35"/>
    <mergeCell ref="C1:F1"/>
    <mergeCell ref="G1:I1"/>
    <mergeCell ref="C2:F2"/>
    <mergeCell ref="G2:I2"/>
    <mergeCell ref="B3:C3"/>
    <mergeCell ref="H3:I3"/>
    <mergeCell ref="H4:I4"/>
    <mergeCell ref="A5:I5"/>
    <mergeCell ref="A6:A7"/>
    <mergeCell ref="B6:B7"/>
    <mergeCell ref="C6:D6"/>
    <mergeCell ref="C7:D7"/>
    <mergeCell ref="E6:F6"/>
    <mergeCell ref="E7:F7"/>
    <mergeCell ref="G6:I7"/>
    <mergeCell ref="C11:D11"/>
    <mergeCell ref="C12:D12"/>
    <mergeCell ref="C13:D13"/>
    <mergeCell ref="C8:D8"/>
    <mergeCell ref="C9:D9"/>
    <mergeCell ref="C10:D10"/>
    <mergeCell ref="C17:D17"/>
    <mergeCell ref="C18:D18"/>
    <mergeCell ref="C19:D19"/>
    <mergeCell ref="C14:D14"/>
    <mergeCell ref="C15:D15"/>
    <mergeCell ref="C16:D16"/>
    <mergeCell ref="C23:D23"/>
    <mergeCell ref="C24:D24"/>
    <mergeCell ref="C25:D25"/>
    <mergeCell ref="C20:D20"/>
    <mergeCell ref="C21:D21"/>
    <mergeCell ref="C22:D22"/>
    <mergeCell ref="C29:D29"/>
    <mergeCell ref="C30:D30"/>
    <mergeCell ref="C31:D31"/>
    <mergeCell ref="C26:D26"/>
    <mergeCell ref="C27:D27"/>
    <mergeCell ref="C28:D28"/>
    <mergeCell ref="E30:F30"/>
    <mergeCell ref="E31:F31"/>
    <mergeCell ref="E20:F20"/>
    <mergeCell ref="E21:F21"/>
    <mergeCell ref="E22:F22"/>
    <mergeCell ref="E23:F23"/>
    <mergeCell ref="E24:F24"/>
    <mergeCell ref="E25:F25"/>
    <mergeCell ref="E13:F13"/>
    <mergeCell ref="E27:F27"/>
    <mergeCell ref="E28:F28"/>
    <mergeCell ref="E29:F29"/>
    <mergeCell ref="G24:I24"/>
    <mergeCell ref="E26:F26"/>
    <mergeCell ref="E14:F14"/>
    <mergeCell ref="E15:F15"/>
    <mergeCell ref="E16:F16"/>
    <mergeCell ref="E17:F17"/>
    <mergeCell ref="E18:F18"/>
    <mergeCell ref="E19:F19"/>
    <mergeCell ref="E8:F8"/>
    <mergeCell ref="E9:F9"/>
    <mergeCell ref="E10:F10"/>
    <mergeCell ref="E11:F11"/>
    <mergeCell ref="E12:F12"/>
    <mergeCell ref="G32:I32"/>
    <mergeCell ref="G26:I26"/>
    <mergeCell ref="G27:I27"/>
    <mergeCell ref="G28:I28"/>
    <mergeCell ref="G29:I29"/>
    <mergeCell ref="G30:I30"/>
    <mergeCell ref="G31:I31"/>
    <mergeCell ref="G8:I8"/>
    <mergeCell ref="G9:I9"/>
    <mergeCell ref="G10:I10"/>
    <mergeCell ref="G11:I11"/>
    <mergeCell ref="G12:I12"/>
    <mergeCell ref="G17:I17"/>
    <mergeCell ref="G18:I18"/>
    <mergeCell ref="G19:I19"/>
    <mergeCell ref="G20:I20"/>
    <mergeCell ref="G13:I13"/>
    <mergeCell ref="G25:I25"/>
    <mergeCell ref="G14:I14"/>
    <mergeCell ref="G15:I15"/>
    <mergeCell ref="G16:I16"/>
    <mergeCell ref="G21:I21"/>
    <mergeCell ref="G22:I22"/>
    <mergeCell ref="G23:I23"/>
  </mergeCells>
  <pageMargins left="0.70866141732283472" right="0.70866141732283472" top="0.74803149606299213" bottom="0.74803149606299213" header="0.31496062992125984" footer="0.31496062992125984"/>
  <pageSetup paperSize="9" scale="98" orientation="portrait" horizontalDpi="300" r:id="rId1"/>
  <rowBreaks count="1" manualBreakCount="1">
    <brk id="32" max="8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L64"/>
  <sheetViews>
    <sheetView view="pageBreakPreview" zoomScaleSheetLayoutView="100" workbookViewId="0"/>
  </sheetViews>
  <sheetFormatPr defaultColWidth="9.140625" defaultRowHeight="15" x14ac:dyDescent="0.25"/>
  <cols>
    <col min="1" max="6" width="9.140625" style="17"/>
    <col min="7" max="7" width="9.140625" style="17" customWidth="1"/>
    <col min="8" max="10" width="9.140625" style="17"/>
    <col min="11" max="11" width="22.42578125" style="17" customWidth="1"/>
    <col min="12" max="16384" width="9.140625" style="17"/>
  </cols>
  <sheetData>
    <row r="1" spans="1:12" ht="21" customHeight="1" x14ac:dyDescent="0.25">
      <c r="A1" s="31"/>
      <c r="B1" s="163"/>
      <c r="C1" s="587" t="str">
        <f>НазваниеКраткое</f>
        <v>Западные ворота - 2017</v>
      </c>
      <c r="D1" s="582"/>
      <c r="E1" s="582"/>
      <c r="F1" s="588"/>
      <c r="G1" s="590" t="str">
        <f ca="1">INDIRECT(ADDRESS(L3,1,,,"Общее"))</f>
        <v>КВ-2 ПКАД</v>
      </c>
      <c r="H1" s="591"/>
      <c r="I1" s="592"/>
    </row>
    <row r="2" spans="1:12" ht="21" customHeight="1" thickBot="1" x14ac:dyDescent="0.3">
      <c r="A2" s="31"/>
      <c r="B2" s="164"/>
      <c r="C2" s="583" t="s">
        <v>11</v>
      </c>
      <c r="D2" s="583"/>
      <c r="E2" s="583"/>
      <c r="F2" s="589"/>
      <c r="G2" s="593" t="s">
        <v>187</v>
      </c>
      <c r="H2" s="594"/>
      <c r="I2" s="595"/>
    </row>
    <row r="3" spans="1:12" ht="21" customHeight="1" x14ac:dyDescent="0.25">
      <c r="A3" s="106" t="s">
        <v>12</v>
      </c>
      <c r="B3" s="597" t="str">
        <f ca="1">INDIRECT(ADDRESS(L3,14,,,"Общее"))</f>
        <v>Грушин</v>
      </c>
      <c r="C3" s="598"/>
      <c r="D3" s="107" t="s">
        <v>184</v>
      </c>
      <c r="E3" s="112" t="s">
        <v>181</v>
      </c>
      <c r="F3" s="110">
        <f ca="1">INDIRECT(ADDRESS(L3,11,,,"Общее"))</f>
        <v>0.57707441218613187</v>
      </c>
      <c r="G3" s="112" t="s">
        <v>180</v>
      </c>
      <c r="H3" s="602" t="s">
        <v>225</v>
      </c>
      <c r="I3" s="603"/>
      <c r="K3" s="17" t="s">
        <v>207</v>
      </c>
      <c r="L3" s="17">
        <v>24</v>
      </c>
    </row>
    <row r="4" spans="1:12" ht="21" customHeight="1" thickBot="1" x14ac:dyDescent="0.3">
      <c r="A4" s="108" t="s">
        <v>183</v>
      </c>
      <c r="B4" s="161"/>
      <c r="C4" s="114"/>
      <c r="D4" s="109" t="s">
        <v>185</v>
      </c>
      <c r="E4" s="113" t="s">
        <v>181</v>
      </c>
      <c r="F4" s="111">
        <f ca="1">INDIRECT(ADDRESS(L3,13,,,"Общее"))</f>
        <v>0.63262996774168734</v>
      </c>
      <c r="G4" s="113" t="s">
        <v>180</v>
      </c>
      <c r="H4" s="604" t="s">
        <v>225</v>
      </c>
      <c r="I4" s="605"/>
    </row>
    <row r="5" spans="1:12" ht="50.1" customHeight="1" thickBot="1" x14ac:dyDescent="0.3">
      <c r="A5" s="628" t="s">
        <v>260</v>
      </c>
      <c r="B5" s="628"/>
      <c r="C5" s="628"/>
      <c r="D5" s="628"/>
      <c r="E5" s="628"/>
      <c r="F5" s="628"/>
      <c r="G5" s="628"/>
      <c r="H5" s="628"/>
      <c r="I5" s="628"/>
    </row>
    <row r="6" spans="1:12" ht="21" customHeight="1" x14ac:dyDescent="0.25">
      <c r="A6" s="629"/>
      <c r="B6" s="631" t="s">
        <v>0</v>
      </c>
      <c r="C6" s="633" t="s">
        <v>313</v>
      </c>
      <c r="D6" s="634"/>
      <c r="E6" s="637" t="s">
        <v>90</v>
      </c>
      <c r="F6" s="638"/>
      <c r="G6" s="638"/>
      <c r="H6" s="638"/>
      <c r="I6" s="639"/>
    </row>
    <row r="7" spans="1:12" ht="21" customHeight="1" x14ac:dyDescent="0.25">
      <c r="A7" s="630"/>
      <c r="B7" s="632"/>
      <c r="C7" s="635" t="s">
        <v>226</v>
      </c>
      <c r="D7" s="636"/>
      <c r="E7" s="640"/>
      <c r="F7" s="641"/>
      <c r="G7" s="641"/>
      <c r="H7" s="641"/>
      <c r="I7" s="642"/>
    </row>
    <row r="8" spans="1:12" ht="24" customHeight="1" x14ac:dyDescent="0.25">
      <c r="A8" s="40">
        <v>1</v>
      </c>
      <c r="B8" s="213"/>
      <c r="C8" s="618" t="s">
        <v>225</v>
      </c>
      <c r="D8" s="619"/>
      <c r="E8" s="609"/>
      <c r="F8" s="610"/>
      <c r="G8" s="610"/>
      <c r="H8" s="610"/>
      <c r="I8" s="615"/>
    </row>
    <row r="9" spans="1:12" ht="24" customHeight="1" x14ac:dyDescent="0.25">
      <c r="A9" s="34">
        <f>1+A8</f>
        <v>2</v>
      </c>
      <c r="B9" s="155"/>
      <c r="C9" s="616" t="s">
        <v>225</v>
      </c>
      <c r="D9" s="617"/>
      <c r="E9" s="584"/>
      <c r="F9" s="585"/>
      <c r="G9" s="585"/>
      <c r="H9" s="585"/>
      <c r="I9" s="613"/>
    </row>
    <row r="10" spans="1:12" ht="24" customHeight="1" x14ac:dyDescent="0.25">
      <c r="A10" s="34">
        <f t="shared" ref="A10:A31" si="0">1+A9</f>
        <v>3</v>
      </c>
      <c r="B10" s="155"/>
      <c r="C10" s="616" t="s">
        <v>225</v>
      </c>
      <c r="D10" s="617"/>
      <c r="E10" s="584"/>
      <c r="F10" s="585"/>
      <c r="G10" s="585"/>
      <c r="H10" s="585"/>
      <c r="I10" s="613"/>
    </row>
    <row r="11" spans="1:12" ht="24" customHeight="1" x14ac:dyDescent="0.25">
      <c r="A11" s="34">
        <f t="shared" si="0"/>
        <v>4</v>
      </c>
      <c r="B11" s="155"/>
      <c r="C11" s="616" t="s">
        <v>225</v>
      </c>
      <c r="D11" s="617"/>
      <c r="E11" s="584"/>
      <c r="F11" s="585"/>
      <c r="G11" s="585"/>
      <c r="H11" s="585"/>
      <c r="I11" s="613"/>
    </row>
    <row r="12" spans="1:12" ht="24" customHeight="1" x14ac:dyDescent="0.25">
      <c r="A12" s="34">
        <f t="shared" si="0"/>
        <v>5</v>
      </c>
      <c r="B12" s="155"/>
      <c r="C12" s="616" t="s">
        <v>225</v>
      </c>
      <c r="D12" s="617"/>
      <c r="E12" s="584"/>
      <c r="F12" s="585"/>
      <c r="G12" s="585"/>
      <c r="H12" s="585"/>
      <c r="I12" s="613"/>
    </row>
    <row r="13" spans="1:12" ht="24" customHeight="1" x14ac:dyDescent="0.25">
      <c r="A13" s="34">
        <f t="shared" si="0"/>
        <v>6</v>
      </c>
      <c r="B13" s="155"/>
      <c r="C13" s="616" t="s">
        <v>225</v>
      </c>
      <c r="D13" s="617"/>
      <c r="E13" s="584"/>
      <c r="F13" s="585"/>
      <c r="G13" s="585"/>
      <c r="H13" s="585"/>
      <c r="I13" s="613"/>
    </row>
    <row r="14" spans="1:12" ht="24" customHeight="1" x14ac:dyDescent="0.25">
      <c r="A14" s="34">
        <f t="shared" si="0"/>
        <v>7</v>
      </c>
      <c r="B14" s="155"/>
      <c r="C14" s="616" t="s">
        <v>225</v>
      </c>
      <c r="D14" s="617"/>
      <c r="E14" s="584"/>
      <c r="F14" s="585"/>
      <c r="G14" s="585"/>
      <c r="H14" s="585"/>
      <c r="I14" s="613"/>
    </row>
    <row r="15" spans="1:12" ht="24" customHeight="1" x14ac:dyDescent="0.25">
      <c r="A15" s="34">
        <f t="shared" si="0"/>
        <v>8</v>
      </c>
      <c r="B15" s="155"/>
      <c r="C15" s="616" t="s">
        <v>225</v>
      </c>
      <c r="D15" s="617"/>
      <c r="E15" s="584"/>
      <c r="F15" s="585"/>
      <c r="G15" s="585"/>
      <c r="H15" s="585"/>
      <c r="I15" s="613"/>
    </row>
    <row r="16" spans="1:12" ht="24" customHeight="1" x14ac:dyDescent="0.25">
      <c r="A16" s="34">
        <f t="shared" si="0"/>
        <v>9</v>
      </c>
      <c r="B16" s="155"/>
      <c r="C16" s="616" t="s">
        <v>225</v>
      </c>
      <c r="D16" s="617"/>
      <c r="E16" s="584"/>
      <c r="F16" s="585"/>
      <c r="G16" s="585"/>
      <c r="H16" s="585"/>
      <c r="I16" s="613"/>
    </row>
    <row r="17" spans="1:12" ht="24" customHeight="1" x14ac:dyDescent="0.25">
      <c r="A17" s="34">
        <f t="shared" si="0"/>
        <v>10</v>
      </c>
      <c r="B17" s="155"/>
      <c r="C17" s="616" t="s">
        <v>225</v>
      </c>
      <c r="D17" s="617"/>
      <c r="E17" s="584"/>
      <c r="F17" s="585"/>
      <c r="G17" s="585"/>
      <c r="H17" s="585"/>
      <c r="I17" s="613"/>
    </row>
    <row r="18" spans="1:12" ht="24" customHeight="1" x14ac:dyDescent="0.25">
      <c r="A18" s="34">
        <f t="shared" si="0"/>
        <v>11</v>
      </c>
      <c r="B18" s="155"/>
      <c r="C18" s="616" t="s">
        <v>225</v>
      </c>
      <c r="D18" s="617"/>
      <c r="E18" s="584"/>
      <c r="F18" s="585"/>
      <c r="G18" s="585"/>
      <c r="H18" s="585"/>
      <c r="I18" s="613"/>
    </row>
    <row r="19" spans="1:12" ht="24" customHeight="1" x14ac:dyDescent="0.25">
      <c r="A19" s="34">
        <f t="shared" si="0"/>
        <v>12</v>
      </c>
      <c r="B19" s="155"/>
      <c r="C19" s="616" t="s">
        <v>225</v>
      </c>
      <c r="D19" s="617"/>
      <c r="E19" s="584"/>
      <c r="F19" s="585"/>
      <c r="G19" s="585"/>
      <c r="H19" s="585"/>
      <c r="I19" s="613"/>
    </row>
    <row r="20" spans="1:12" ht="24" customHeight="1" x14ac:dyDescent="0.25">
      <c r="A20" s="34">
        <f t="shared" si="0"/>
        <v>13</v>
      </c>
      <c r="B20" s="155"/>
      <c r="C20" s="616" t="s">
        <v>225</v>
      </c>
      <c r="D20" s="617"/>
      <c r="E20" s="584"/>
      <c r="F20" s="585"/>
      <c r="G20" s="585"/>
      <c r="H20" s="585"/>
      <c r="I20" s="613"/>
    </row>
    <row r="21" spans="1:12" ht="24" customHeight="1" x14ac:dyDescent="0.25">
      <c r="A21" s="34">
        <f t="shared" si="0"/>
        <v>14</v>
      </c>
      <c r="B21" s="155"/>
      <c r="C21" s="616" t="s">
        <v>225</v>
      </c>
      <c r="D21" s="617"/>
      <c r="E21" s="584"/>
      <c r="F21" s="585"/>
      <c r="G21" s="585"/>
      <c r="H21" s="585"/>
      <c r="I21" s="613"/>
    </row>
    <row r="22" spans="1:12" ht="24" customHeight="1" x14ac:dyDescent="0.25">
      <c r="A22" s="34">
        <f t="shared" si="0"/>
        <v>15</v>
      </c>
      <c r="B22" s="155"/>
      <c r="C22" s="616" t="s">
        <v>225</v>
      </c>
      <c r="D22" s="617"/>
      <c r="E22" s="584"/>
      <c r="F22" s="585"/>
      <c r="G22" s="585"/>
      <c r="H22" s="585"/>
      <c r="I22" s="613"/>
    </row>
    <row r="23" spans="1:12" ht="24" customHeight="1" x14ac:dyDescent="0.25">
      <c r="A23" s="34">
        <f t="shared" si="0"/>
        <v>16</v>
      </c>
      <c r="B23" s="155"/>
      <c r="C23" s="616" t="s">
        <v>225</v>
      </c>
      <c r="D23" s="617"/>
      <c r="E23" s="584"/>
      <c r="F23" s="585"/>
      <c r="G23" s="585"/>
      <c r="H23" s="585"/>
      <c r="I23" s="613"/>
    </row>
    <row r="24" spans="1:12" ht="24" customHeight="1" x14ac:dyDescent="0.25">
      <c r="A24" s="34">
        <f t="shared" si="0"/>
        <v>17</v>
      </c>
      <c r="B24" s="155"/>
      <c r="C24" s="616" t="s">
        <v>225</v>
      </c>
      <c r="D24" s="617"/>
      <c r="E24" s="584"/>
      <c r="F24" s="585"/>
      <c r="G24" s="585"/>
      <c r="H24" s="585"/>
      <c r="I24" s="613"/>
    </row>
    <row r="25" spans="1:12" ht="24" customHeight="1" x14ac:dyDescent="0.25">
      <c r="A25" s="34">
        <f t="shared" si="0"/>
        <v>18</v>
      </c>
      <c r="B25" s="155"/>
      <c r="C25" s="616" t="s">
        <v>225</v>
      </c>
      <c r="D25" s="617"/>
      <c r="E25" s="584"/>
      <c r="F25" s="585"/>
      <c r="G25" s="585"/>
      <c r="H25" s="585"/>
      <c r="I25" s="613"/>
    </row>
    <row r="26" spans="1:12" ht="24" customHeight="1" x14ac:dyDescent="0.25">
      <c r="A26" s="34">
        <f t="shared" si="0"/>
        <v>19</v>
      </c>
      <c r="B26" s="155"/>
      <c r="C26" s="616" t="s">
        <v>225</v>
      </c>
      <c r="D26" s="617"/>
      <c r="E26" s="584"/>
      <c r="F26" s="585"/>
      <c r="G26" s="585"/>
      <c r="H26" s="585"/>
      <c r="I26" s="613"/>
    </row>
    <row r="27" spans="1:12" ht="24" customHeight="1" x14ac:dyDescent="0.25">
      <c r="A27" s="34">
        <f t="shared" si="0"/>
        <v>20</v>
      </c>
      <c r="B27" s="155"/>
      <c r="C27" s="616" t="s">
        <v>225</v>
      </c>
      <c r="D27" s="617"/>
      <c r="E27" s="584"/>
      <c r="F27" s="585"/>
      <c r="G27" s="585"/>
      <c r="H27" s="585"/>
      <c r="I27" s="613"/>
    </row>
    <row r="28" spans="1:12" ht="24" customHeight="1" x14ac:dyDescent="0.25">
      <c r="A28" s="34">
        <f t="shared" si="0"/>
        <v>21</v>
      </c>
      <c r="B28" s="155"/>
      <c r="C28" s="616" t="s">
        <v>225</v>
      </c>
      <c r="D28" s="617"/>
      <c r="E28" s="584"/>
      <c r="F28" s="585"/>
      <c r="G28" s="585"/>
      <c r="H28" s="585"/>
      <c r="I28" s="613"/>
    </row>
    <row r="29" spans="1:12" ht="24" customHeight="1" x14ac:dyDescent="0.25">
      <c r="A29" s="34">
        <f t="shared" si="0"/>
        <v>22</v>
      </c>
      <c r="B29" s="155"/>
      <c r="C29" s="616" t="s">
        <v>225</v>
      </c>
      <c r="D29" s="617"/>
      <c r="E29" s="584"/>
      <c r="F29" s="585"/>
      <c r="G29" s="585"/>
      <c r="H29" s="585"/>
      <c r="I29" s="613"/>
    </row>
    <row r="30" spans="1:12" ht="24" customHeight="1" x14ac:dyDescent="0.25">
      <c r="A30" s="34">
        <f t="shared" si="0"/>
        <v>23</v>
      </c>
      <c r="B30" s="155"/>
      <c r="C30" s="616" t="s">
        <v>225</v>
      </c>
      <c r="D30" s="617"/>
      <c r="E30" s="584"/>
      <c r="F30" s="585"/>
      <c r="G30" s="585"/>
      <c r="H30" s="585"/>
      <c r="I30" s="613"/>
    </row>
    <row r="31" spans="1:12" ht="24" customHeight="1" thickBot="1" x14ac:dyDescent="0.3">
      <c r="A31" s="34">
        <f t="shared" si="0"/>
        <v>24</v>
      </c>
      <c r="B31" s="156"/>
      <c r="C31" s="620" t="s">
        <v>225</v>
      </c>
      <c r="D31" s="621"/>
      <c r="E31" s="599"/>
      <c r="F31" s="600"/>
      <c r="G31" s="600"/>
      <c r="H31" s="600"/>
      <c r="I31" s="614"/>
      <c r="K31" s="49"/>
      <c r="L31" s="49"/>
    </row>
    <row r="32" spans="1:12" s="49" customFormat="1" ht="3" customHeight="1" thickBot="1" x14ac:dyDescent="0.3">
      <c r="A32" s="32"/>
      <c r="B32" s="32"/>
      <c r="C32" s="32"/>
      <c r="D32" s="32"/>
      <c r="E32" s="32"/>
      <c r="F32" s="115"/>
      <c r="G32" s="115"/>
      <c r="H32" s="115"/>
      <c r="I32" s="28"/>
    </row>
    <row r="33" spans="1:12" ht="21" customHeight="1" x14ac:dyDescent="0.25">
      <c r="A33" s="31"/>
      <c r="B33" s="163"/>
      <c r="C33" s="587" t="str">
        <f>НазваниеКраткое</f>
        <v>Западные ворота - 2017</v>
      </c>
      <c r="D33" s="582"/>
      <c r="E33" s="582"/>
      <c r="F33" s="588"/>
      <c r="G33" s="590" t="str">
        <f ca="1">INDIRECT(ADDRESS(L35,1,,,"Общее"))</f>
        <v>КВ-3 Финиш</v>
      </c>
      <c r="H33" s="591"/>
      <c r="I33" s="592"/>
    </row>
    <row r="34" spans="1:12" ht="21" customHeight="1" thickBot="1" x14ac:dyDescent="0.3">
      <c r="A34" s="31"/>
      <c r="B34" s="164"/>
      <c r="C34" s="583" t="s">
        <v>11</v>
      </c>
      <c r="D34" s="583"/>
      <c r="E34" s="583"/>
      <c r="F34" s="589"/>
      <c r="G34" s="593" t="s">
        <v>187</v>
      </c>
      <c r="H34" s="594"/>
      <c r="I34" s="595"/>
    </row>
    <row r="35" spans="1:12" ht="21" customHeight="1" x14ac:dyDescent="0.25">
      <c r="A35" s="106" t="s">
        <v>12</v>
      </c>
      <c r="B35" s="597" t="str">
        <f ca="1">INDIRECT(ADDRESS(L35,14,,,"Общее"))</f>
        <v>Борисов</v>
      </c>
      <c r="C35" s="598"/>
      <c r="D35" s="107" t="s">
        <v>184</v>
      </c>
      <c r="E35" s="112" t="s">
        <v>181</v>
      </c>
      <c r="F35" s="110">
        <f ca="1">INDIRECT(ADDRESS(L35,11,,,"Общее"))</f>
        <v>0.643042693179952</v>
      </c>
      <c r="G35" s="112" t="s">
        <v>180</v>
      </c>
      <c r="H35" s="602" t="s">
        <v>225</v>
      </c>
      <c r="I35" s="603"/>
      <c r="K35" s="17" t="s">
        <v>207</v>
      </c>
      <c r="L35" s="17">
        <v>28</v>
      </c>
    </row>
    <row r="36" spans="1:12" ht="21" customHeight="1" thickBot="1" x14ac:dyDescent="0.3">
      <c r="A36" s="108" t="s">
        <v>183</v>
      </c>
      <c r="B36" s="161"/>
      <c r="C36" s="114"/>
      <c r="D36" s="109" t="s">
        <v>185</v>
      </c>
      <c r="E36" s="113" t="s">
        <v>181</v>
      </c>
      <c r="F36" s="111">
        <f ca="1">INDIRECT(ADDRESS(L35,13,,,"Общее"))</f>
        <v>0.69859824873550747</v>
      </c>
      <c r="G36" s="113" t="s">
        <v>180</v>
      </c>
      <c r="H36" s="604" t="s">
        <v>225</v>
      </c>
      <c r="I36" s="605"/>
    </row>
    <row r="37" spans="1:12" ht="50.1" customHeight="1" thickBot="1" x14ac:dyDescent="0.3">
      <c r="A37" s="628" t="s">
        <v>260</v>
      </c>
      <c r="B37" s="628"/>
      <c r="C37" s="628"/>
      <c r="D37" s="628"/>
      <c r="E37" s="628"/>
      <c r="F37" s="628"/>
      <c r="G37" s="628"/>
      <c r="H37" s="628"/>
      <c r="I37" s="628"/>
    </row>
    <row r="38" spans="1:12" ht="21" customHeight="1" x14ac:dyDescent="0.25">
      <c r="A38" s="629"/>
      <c r="B38" s="631" t="s">
        <v>0</v>
      </c>
      <c r="C38" s="633" t="s">
        <v>313</v>
      </c>
      <c r="D38" s="634"/>
      <c r="E38" s="637" t="s">
        <v>90</v>
      </c>
      <c r="F38" s="638"/>
      <c r="G38" s="638"/>
      <c r="H38" s="638"/>
      <c r="I38" s="639"/>
    </row>
    <row r="39" spans="1:12" ht="21" customHeight="1" x14ac:dyDescent="0.25">
      <c r="A39" s="630"/>
      <c r="B39" s="632"/>
      <c r="C39" s="635" t="s">
        <v>226</v>
      </c>
      <c r="D39" s="636"/>
      <c r="E39" s="640"/>
      <c r="F39" s="641"/>
      <c r="G39" s="641"/>
      <c r="H39" s="641"/>
      <c r="I39" s="642"/>
    </row>
    <row r="40" spans="1:12" ht="24" customHeight="1" x14ac:dyDescent="0.25">
      <c r="A40" s="40">
        <v>1</v>
      </c>
      <c r="B40" s="213"/>
      <c r="C40" s="618" t="s">
        <v>225</v>
      </c>
      <c r="D40" s="619"/>
      <c r="E40" s="609"/>
      <c r="F40" s="610"/>
      <c r="G40" s="610"/>
      <c r="H40" s="610"/>
      <c r="I40" s="615"/>
    </row>
    <row r="41" spans="1:12" ht="24" customHeight="1" x14ac:dyDescent="0.25">
      <c r="A41" s="34">
        <f>1+A40</f>
        <v>2</v>
      </c>
      <c r="B41" s="155"/>
      <c r="C41" s="616" t="s">
        <v>225</v>
      </c>
      <c r="D41" s="617"/>
      <c r="E41" s="584"/>
      <c r="F41" s="585"/>
      <c r="G41" s="585"/>
      <c r="H41" s="585"/>
      <c r="I41" s="613"/>
    </row>
    <row r="42" spans="1:12" ht="24" customHeight="1" x14ac:dyDescent="0.25">
      <c r="A42" s="34">
        <f t="shared" ref="A42:A63" si="1">1+A41</f>
        <v>3</v>
      </c>
      <c r="B42" s="155"/>
      <c r="C42" s="616" t="s">
        <v>225</v>
      </c>
      <c r="D42" s="617"/>
      <c r="E42" s="584"/>
      <c r="F42" s="585"/>
      <c r="G42" s="585"/>
      <c r="H42" s="585"/>
      <c r="I42" s="613"/>
    </row>
    <row r="43" spans="1:12" ht="24" customHeight="1" x14ac:dyDescent="0.25">
      <c r="A43" s="34">
        <f t="shared" si="1"/>
        <v>4</v>
      </c>
      <c r="B43" s="155"/>
      <c r="C43" s="616" t="s">
        <v>225</v>
      </c>
      <c r="D43" s="617"/>
      <c r="E43" s="584"/>
      <c r="F43" s="585"/>
      <c r="G43" s="585"/>
      <c r="H43" s="585"/>
      <c r="I43" s="613"/>
    </row>
    <row r="44" spans="1:12" ht="24" customHeight="1" x14ac:dyDescent="0.25">
      <c r="A44" s="34">
        <f t="shared" si="1"/>
        <v>5</v>
      </c>
      <c r="B44" s="155"/>
      <c r="C44" s="616" t="s">
        <v>225</v>
      </c>
      <c r="D44" s="617"/>
      <c r="E44" s="584"/>
      <c r="F44" s="585"/>
      <c r="G44" s="585"/>
      <c r="H44" s="585"/>
      <c r="I44" s="613"/>
    </row>
    <row r="45" spans="1:12" ht="24" customHeight="1" x14ac:dyDescent="0.25">
      <c r="A45" s="34">
        <f t="shared" si="1"/>
        <v>6</v>
      </c>
      <c r="B45" s="155"/>
      <c r="C45" s="616" t="s">
        <v>225</v>
      </c>
      <c r="D45" s="617"/>
      <c r="E45" s="584"/>
      <c r="F45" s="585"/>
      <c r="G45" s="585"/>
      <c r="H45" s="585"/>
      <c r="I45" s="613"/>
    </row>
    <row r="46" spans="1:12" ht="24" customHeight="1" x14ac:dyDescent="0.25">
      <c r="A46" s="34">
        <f t="shared" si="1"/>
        <v>7</v>
      </c>
      <c r="B46" s="155"/>
      <c r="C46" s="616" t="s">
        <v>225</v>
      </c>
      <c r="D46" s="617"/>
      <c r="E46" s="584"/>
      <c r="F46" s="585"/>
      <c r="G46" s="585"/>
      <c r="H46" s="585"/>
      <c r="I46" s="613"/>
    </row>
    <row r="47" spans="1:12" ht="24" customHeight="1" x14ac:dyDescent="0.25">
      <c r="A47" s="34">
        <f t="shared" si="1"/>
        <v>8</v>
      </c>
      <c r="B47" s="155"/>
      <c r="C47" s="616" t="s">
        <v>225</v>
      </c>
      <c r="D47" s="617"/>
      <c r="E47" s="584"/>
      <c r="F47" s="585"/>
      <c r="G47" s="585"/>
      <c r="H47" s="585"/>
      <c r="I47" s="613"/>
    </row>
    <row r="48" spans="1:12" ht="24" customHeight="1" x14ac:dyDescent="0.25">
      <c r="A48" s="34">
        <f t="shared" si="1"/>
        <v>9</v>
      </c>
      <c r="B48" s="155"/>
      <c r="C48" s="616" t="s">
        <v>225</v>
      </c>
      <c r="D48" s="617"/>
      <c r="E48" s="584"/>
      <c r="F48" s="585"/>
      <c r="G48" s="585"/>
      <c r="H48" s="585"/>
      <c r="I48" s="613"/>
    </row>
    <row r="49" spans="1:12" ht="24" customHeight="1" x14ac:dyDescent="0.25">
      <c r="A49" s="34">
        <f t="shared" si="1"/>
        <v>10</v>
      </c>
      <c r="B49" s="155"/>
      <c r="C49" s="616" t="s">
        <v>225</v>
      </c>
      <c r="D49" s="617"/>
      <c r="E49" s="584"/>
      <c r="F49" s="585"/>
      <c r="G49" s="585"/>
      <c r="H49" s="585"/>
      <c r="I49" s="613"/>
    </row>
    <row r="50" spans="1:12" ht="24" customHeight="1" x14ac:dyDescent="0.25">
      <c r="A50" s="34">
        <f t="shared" si="1"/>
        <v>11</v>
      </c>
      <c r="B50" s="155"/>
      <c r="C50" s="616" t="s">
        <v>225</v>
      </c>
      <c r="D50" s="617"/>
      <c r="E50" s="584"/>
      <c r="F50" s="585"/>
      <c r="G50" s="585"/>
      <c r="H50" s="585"/>
      <c r="I50" s="613"/>
    </row>
    <row r="51" spans="1:12" ht="24" customHeight="1" x14ac:dyDescent="0.25">
      <c r="A51" s="34">
        <f t="shared" si="1"/>
        <v>12</v>
      </c>
      <c r="B51" s="155"/>
      <c r="C51" s="616" t="s">
        <v>225</v>
      </c>
      <c r="D51" s="617"/>
      <c r="E51" s="584"/>
      <c r="F51" s="585"/>
      <c r="G51" s="585"/>
      <c r="H51" s="585"/>
      <c r="I51" s="613"/>
    </row>
    <row r="52" spans="1:12" ht="24" customHeight="1" x14ac:dyDescent="0.25">
      <c r="A52" s="34">
        <f t="shared" si="1"/>
        <v>13</v>
      </c>
      <c r="B52" s="155"/>
      <c r="C52" s="616" t="s">
        <v>225</v>
      </c>
      <c r="D52" s="617"/>
      <c r="E52" s="584"/>
      <c r="F52" s="585"/>
      <c r="G52" s="585"/>
      <c r="H52" s="585"/>
      <c r="I52" s="613"/>
    </row>
    <row r="53" spans="1:12" ht="24" customHeight="1" x14ac:dyDescent="0.25">
      <c r="A53" s="34">
        <f t="shared" si="1"/>
        <v>14</v>
      </c>
      <c r="B53" s="155"/>
      <c r="C53" s="616" t="s">
        <v>225</v>
      </c>
      <c r="D53" s="617"/>
      <c r="E53" s="584"/>
      <c r="F53" s="585"/>
      <c r="G53" s="585"/>
      <c r="H53" s="585"/>
      <c r="I53" s="613"/>
    </row>
    <row r="54" spans="1:12" ht="24" customHeight="1" x14ac:dyDescent="0.25">
      <c r="A54" s="34">
        <f t="shared" si="1"/>
        <v>15</v>
      </c>
      <c r="B54" s="155"/>
      <c r="C54" s="616" t="s">
        <v>225</v>
      </c>
      <c r="D54" s="617"/>
      <c r="E54" s="584"/>
      <c r="F54" s="585"/>
      <c r="G54" s="585"/>
      <c r="H54" s="585"/>
      <c r="I54" s="613"/>
    </row>
    <row r="55" spans="1:12" ht="24" customHeight="1" x14ac:dyDescent="0.25">
      <c r="A55" s="34">
        <f t="shared" si="1"/>
        <v>16</v>
      </c>
      <c r="B55" s="155"/>
      <c r="C55" s="616" t="s">
        <v>225</v>
      </c>
      <c r="D55" s="617"/>
      <c r="E55" s="584"/>
      <c r="F55" s="585"/>
      <c r="G55" s="585"/>
      <c r="H55" s="585"/>
      <c r="I55" s="613"/>
    </row>
    <row r="56" spans="1:12" ht="24" customHeight="1" x14ac:dyDescent="0.25">
      <c r="A56" s="34">
        <f t="shared" si="1"/>
        <v>17</v>
      </c>
      <c r="B56" s="155"/>
      <c r="C56" s="616" t="s">
        <v>225</v>
      </c>
      <c r="D56" s="617"/>
      <c r="E56" s="584"/>
      <c r="F56" s="585"/>
      <c r="G56" s="585"/>
      <c r="H56" s="585"/>
      <c r="I56" s="613"/>
    </row>
    <row r="57" spans="1:12" ht="24" customHeight="1" x14ac:dyDescent="0.25">
      <c r="A57" s="34">
        <f t="shared" si="1"/>
        <v>18</v>
      </c>
      <c r="B57" s="155"/>
      <c r="C57" s="616" t="s">
        <v>225</v>
      </c>
      <c r="D57" s="617"/>
      <c r="E57" s="584"/>
      <c r="F57" s="585"/>
      <c r="G57" s="585"/>
      <c r="H57" s="585"/>
      <c r="I57" s="613"/>
    </row>
    <row r="58" spans="1:12" ht="24" customHeight="1" x14ac:dyDescent="0.25">
      <c r="A58" s="34">
        <f t="shared" si="1"/>
        <v>19</v>
      </c>
      <c r="B58" s="155"/>
      <c r="C58" s="616" t="s">
        <v>225</v>
      </c>
      <c r="D58" s="617"/>
      <c r="E58" s="584"/>
      <c r="F58" s="585"/>
      <c r="G58" s="585"/>
      <c r="H58" s="585"/>
      <c r="I58" s="613"/>
    </row>
    <row r="59" spans="1:12" ht="24" customHeight="1" x14ac:dyDescent="0.25">
      <c r="A59" s="34">
        <f t="shared" si="1"/>
        <v>20</v>
      </c>
      <c r="B59" s="155"/>
      <c r="C59" s="616" t="s">
        <v>225</v>
      </c>
      <c r="D59" s="617"/>
      <c r="E59" s="584"/>
      <c r="F59" s="585"/>
      <c r="G59" s="585"/>
      <c r="H59" s="585"/>
      <c r="I59" s="613"/>
    </row>
    <row r="60" spans="1:12" ht="24" customHeight="1" x14ac:dyDescent="0.25">
      <c r="A60" s="34">
        <f t="shared" si="1"/>
        <v>21</v>
      </c>
      <c r="B60" s="155"/>
      <c r="C60" s="616" t="s">
        <v>225</v>
      </c>
      <c r="D60" s="617"/>
      <c r="E60" s="584"/>
      <c r="F60" s="585"/>
      <c r="G60" s="585"/>
      <c r="H60" s="585"/>
      <c r="I60" s="613"/>
    </row>
    <row r="61" spans="1:12" ht="24" customHeight="1" x14ac:dyDescent="0.25">
      <c r="A61" s="34">
        <f t="shared" si="1"/>
        <v>22</v>
      </c>
      <c r="B61" s="155"/>
      <c r="C61" s="616" t="s">
        <v>225</v>
      </c>
      <c r="D61" s="617"/>
      <c r="E61" s="584"/>
      <c r="F61" s="585"/>
      <c r="G61" s="585"/>
      <c r="H61" s="585"/>
      <c r="I61" s="613"/>
    </row>
    <row r="62" spans="1:12" ht="24" customHeight="1" x14ac:dyDescent="0.25">
      <c r="A62" s="34">
        <f t="shared" si="1"/>
        <v>23</v>
      </c>
      <c r="B62" s="155"/>
      <c r="C62" s="616" t="s">
        <v>225</v>
      </c>
      <c r="D62" s="617"/>
      <c r="E62" s="584"/>
      <c r="F62" s="585"/>
      <c r="G62" s="585"/>
      <c r="H62" s="585"/>
      <c r="I62" s="613"/>
    </row>
    <row r="63" spans="1:12" ht="24" customHeight="1" thickBot="1" x14ac:dyDescent="0.3">
      <c r="A63" s="34">
        <f t="shared" si="1"/>
        <v>24</v>
      </c>
      <c r="B63" s="156"/>
      <c r="C63" s="620" t="s">
        <v>225</v>
      </c>
      <c r="D63" s="621"/>
      <c r="E63" s="599"/>
      <c r="F63" s="600"/>
      <c r="G63" s="600"/>
      <c r="H63" s="600"/>
      <c r="I63" s="614"/>
      <c r="K63" s="49"/>
      <c r="L63" s="49"/>
    </row>
    <row r="64" spans="1:12" s="49" customFormat="1" ht="3" customHeight="1" x14ac:dyDescent="0.25">
      <c r="A64" s="32"/>
      <c r="B64" s="32"/>
      <c r="C64" s="32"/>
      <c r="D64" s="32"/>
      <c r="E64" s="32"/>
      <c r="F64" s="115"/>
      <c r="G64" s="115"/>
      <c r="H64" s="115"/>
      <c r="I64" s="28"/>
    </row>
  </sheetData>
  <mergeCells count="122">
    <mergeCell ref="C61:D61"/>
    <mergeCell ref="E61:I61"/>
    <mergeCell ref="C62:D62"/>
    <mergeCell ref="E62:I62"/>
    <mergeCell ref="C63:D63"/>
    <mergeCell ref="E63:I63"/>
    <mergeCell ref="C58:D58"/>
    <mergeCell ref="E58:I58"/>
    <mergeCell ref="C59:D59"/>
    <mergeCell ref="E59:I59"/>
    <mergeCell ref="C60:D60"/>
    <mergeCell ref="E60:I60"/>
    <mergeCell ref="C55:D55"/>
    <mergeCell ref="E55:I55"/>
    <mergeCell ref="C56:D56"/>
    <mergeCell ref="E56:I56"/>
    <mergeCell ref="C57:D57"/>
    <mergeCell ref="E57:I57"/>
    <mergeCell ref="C52:D52"/>
    <mergeCell ref="E52:I52"/>
    <mergeCell ref="C53:D53"/>
    <mergeCell ref="E53:I53"/>
    <mergeCell ref="C54:D54"/>
    <mergeCell ref="E54:I54"/>
    <mergeCell ref="C49:D49"/>
    <mergeCell ref="E49:I49"/>
    <mergeCell ref="C50:D50"/>
    <mergeCell ref="E50:I50"/>
    <mergeCell ref="C51:D51"/>
    <mergeCell ref="E51:I51"/>
    <mergeCell ref="C46:D46"/>
    <mergeCell ref="E46:I46"/>
    <mergeCell ref="C47:D47"/>
    <mergeCell ref="E47:I47"/>
    <mergeCell ref="C48:D48"/>
    <mergeCell ref="E48:I48"/>
    <mergeCell ref="C43:D43"/>
    <mergeCell ref="E43:I43"/>
    <mergeCell ref="C44:D44"/>
    <mergeCell ref="E44:I44"/>
    <mergeCell ref="C45:D45"/>
    <mergeCell ref="E45:I45"/>
    <mergeCell ref="C40:D40"/>
    <mergeCell ref="E40:I40"/>
    <mergeCell ref="C41:D41"/>
    <mergeCell ref="E41:I41"/>
    <mergeCell ref="C42:D42"/>
    <mergeCell ref="E42:I42"/>
    <mergeCell ref="H36:I36"/>
    <mergeCell ref="A37:I37"/>
    <mergeCell ref="A38:A39"/>
    <mergeCell ref="B38:B39"/>
    <mergeCell ref="C38:D38"/>
    <mergeCell ref="E38:I39"/>
    <mergeCell ref="C39:D39"/>
    <mergeCell ref="C33:F33"/>
    <mergeCell ref="G33:I33"/>
    <mergeCell ref="C34:F34"/>
    <mergeCell ref="G34:I34"/>
    <mergeCell ref="B35:C35"/>
    <mergeCell ref="H35:I35"/>
    <mergeCell ref="C29:D29"/>
    <mergeCell ref="E29:I29"/>
    <mergeCell ref="C30:D30"/>
    <mergeCell ref="E30:I30"/>
    <mergeCell ref="C31:D31"/>
    <mergeCell ref="E31:I31"/>
    <mergeCell ref="C26:D26"/>
    <mergeCell ref="E26:I26"/>
    <mergeCell ref="C27:D27"/>
    <mergeCell ref="E27:I27"/>
    <mergeCell ref="C28:D28"/>
    <mergeCell ref="E28:I28"/>
    <mergeCell ref="C23:D23"/>
    <mergeCell ref="E23:I23"/>
    <mergeCell ref="C24:D24"/>
    <mergeCell ref="E24:I24"/>
    <mergeCell ref="C25:D25"/>
    <mergeCell ref="E25:I25"/>
    <mergeCell ref="C20:D20"/>
    <mergeCell ref="E20:I20"/>
    <mergeCell ref="C21:D21"/>
    <mergeCell ref="E21:I21"/>
    <mergeCell ref="C22:D22"/>
    <mergeCell ref="E22:I22"/>
    <mergeCell ref="C17:D17"/>
    <mergeCell ref="E17:I17"/>
    <mergeCell ref="C18:D18"/>
    <mergeCell ref="E18:I18"/>
    <mergeCell ref="C19:D19"/>
    <mergeCell ref="E19:I19"/>
    <mergeCell ref="C14:D14"/>
    <mergeCell ref="E14:I14"/>
    <mergeCell ref="C15:D15"/>
    <mergeCell ref="E15:I15"/>
    <mergeCell ref="C16:D16"/>
    <mergeCell ref="E16:I16"/>
    <mergeCell ref="C11:D11"/>
    <mergeCell ref="E11:I11"/>
    <mergeCell ref="C12:D12"/>
    <mergeCell ref="E12:I12"/>
    <mergeCell ref="C13:D13"/>
    <mergeCell ref="E13:I13"/>
    <mergeCell ref="C8:D8"/>
    <mergeCell ref="E8:I8"/>
    <mergeCell ref="C9:D9"/>
    <mergeCell ref="E9:I9"/>
    <mergeCell ref="C10:D10"/>
    <mergeCell ref="E10:I10"/>
    <mergeCell ref="H4:I4"/>
    <mergeCell ref="A5:I5"/>
    <mergeCell ref="A6:A7"/>
    <mergeCell ref="B6:B7"/>
    <mergeCell ref="C6:D6"/>
    <mergeCell ref="E6:I7"/>
    <mergeCell ref="C7:D7"/>
    <mergeCell ref="C1:F1"/>
    <mergeCell ref="G1:I1"/>
    <mergeCell ref="C2:F2"/>
    <mergeCell ref="G2:I2"/>
    <mergeCell ref="B3:C3"/>
    <mergeCell ref="H3:I3"/>
  </mergeCells>
  <pageMargins left="0.70866141732283472" right="0.70866141732283472" top="0.74803149606299213" bottom="0.74803149606299213" header="0.31496062992125984" footer="0.31496062992125984"/>
  <pageSetup paperSize="9" scale="98" orientation="portrait" horizontalDpi="300" r:id="rId1"/>
  <rowBreaks count="1" manualBreakCount="1">
    <brk id="32" max="8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L32"/>
  <sheetViews>
    <sheetView view="pageBreakPreview" zoomScaleSheetLayoutView="100" workbookViewId="0"/>
  </sheetViews>
  <sheetFormatPr defaultColWidth="9.140625" defaultRowHeight="15" x14ac:dyDescent="0.25"/>
  <cols>
    <col min="1" max="6" width="9.140625" style="17"/>
    <col min="7" max="7" width="9.140625" style="17" customWidth="1"/>
    <col min="8" max="10" width="9.140625" style="17"/>
    <col min="11" max="11" width="22.42578125" style="17" customWidth="1"/>
    <col min="12" max="16384" width="9.140625" style="17"/>
  </cols>
  <sheetData>
    <row r="1" spans="1:12" ht="21" customHeight="1" x14ac:dyDescent="0.25">
      <c r="A1" s="31"/>
      <c r="B1" s="163"/>
      <c r="C1" s="587" t="str">
        <f>НазваниеКраткое</f>
        <v>Западные ворота - 2017</v>
      </c>
      <c r="D1" s="582"/>
      <c r="E1" s="582"/>
      <c r="F1" s="588"/>
      <c r="G1" s="590" t="str">
        <f ca="1">INDIRECT(ADDRESS(L3,1,,,"Общее"))</f>
        <v>ВКП-1</v>
      </c>
      <c r="H1" s="591"/>
      <c r="I1" s="592"/>
    </row>
    <row r="2" spans="1:12" ht="21" customHeight="1" thickBot="1" x14ac:dyDescent="0.3">
      <c r="A2" s="31"/>
      <c r="B2" s="164"/>
      <c r="C2" s="583" t="s">
        <v>11</v>
      </c>
      <c r="D2" s="583"/>
      <c r="E2" s="583"/>
      <c r="F2" s="589"/>
      <c r="G2" s="593" t="s">
        <v>187</v>
      </c>
      <c r="H2" s="594"/>
      <c r="I2" s="595"/>
    </row>
    <row r="3" spans="1:12" ht="21" customHeight="1" x14ac:dyDescent="0.25">
      <c r="A3" s="106" t="s">
        <v>12</v>
      </c>
      <c r="B3" s="597" t="str">
        <f ca="1">INDIRECT(ADDRESS(L3,14,,,"Общее"))</f>
        <v>Алексей</v>
      </c>
      <c r="C3" s="598"/>
      <c r="D3" s="107" t="s">
        <v>184</v>
      </c>
      <c r="E3" s="112" t="s">
        <v>181</v>
      </c>
      <c r="F3" s="110">
        <f ca="1">INDIRECT(ADDRESS(L3,11,,,"Общее"))</f>
        <v>0.42994390918417413</v>
      </c>
      <c r="G3" s="112" t="s">
        <v>180</v>
      </c>
      <c r="H3" s="602" t="s">
        <v>225</v>
      </c>
      <c r="I3" s="603"/>
      <c r="K3" s="17" t="s">
        <v>207</v>
      </c>
      <c r="L3" s="17">
        <v>33</v>
      </c>
    </row>
    <row r="4" spans="1:12" ht="21" customHeight="1" thickBot="1" x14ac:dyDescent="0.3">
      <c r="A4" s="108" t="s">
        <v>183</v>
      </c>
      <c r="B4" s="161"/>
      <c r="C4" s="114"/>
      <c r="D4" s="109" t="s">
        <v>185</v>
      </c>
      <c r="E4" s="113" t="s">
        <v>181</v>
      </c>
      <c r="F4" s="111">
        <f ca="1">INDIRECT(ADDRESS(L3,13,,,"Общее"))</f>
        <v>0.48549946473972971</v>
      </c>
      <c r="G4" s="113" t="s">
        <v>180</v>
      </c>
      <c r="H4" s="604" t="s">
        <v>225</v>
      </c>
      <c r="I4" s="605"/>
    </row>
    <row r="5" spans="1:12" ht="50.1" customHeight="1" thickBot="1" x14ac:dyDescent="0.3">
      <c r="A5" s="628" t="s">
        <v>384</v>
      </c>
      <c r="B5" s="628"/>
      <c r="C5" s="628"/>
      <c r="D5" s="628"/>
      <c r="E5" s="628"/>
      <c r="F5" s="628"/>
      <c r="G5" s="628"/>
      <c r="H5" s="628"/>
      <c r="I5" s="628"/>
    </row>
    <row r="6" spans="1:12" ht="21" customHeight="1" x14ac:dyDescent="0.25">
      <c r="A6" s="629"/>
      <c r="B6" s="631" t="s">
        <v>0</v>
      </c>
      <c r="C6" s="633" t="s">
        <v>313</v>
      </c>
      <c r="D6" s="634"/>
      <c r="E6" s="637" t="s">
        <v>90</v>
      </c>
      <c r="F6" s="638"/>
      <c r="G6" s="638"/>
      <c r="H6" s="638"/>
      <c r="I6" s="639"/>
    </row>
    <row r="7" spans="1:12" ht="21" customHeight="1" x14ac:dyDescent="0.25">
      <c r="A7" s="630"/>
      <c r="B7" s="632"/>
      <c r="C7" s="635" t="s">
        <v>226</v>
      </c>
      <c r="D7" s="636"/>
      <c r="E7" s="640"/>
      <c r="F7" s="641"/>
      <c r="G7" s="641"/>
      <c r="H7" s="641"/>
      <c r="I7" s="642"/>
    </row>
    <row r="8" spans="1:12" ht="24" customHeight="1" x14ac:dyDescent="0.25">
      <c r="A8" s="40">
        <v>1</v>
      </c>
      <c r="B8" s="277"/>
      <c r="C8" s="618" t="s">
        <v>225</v>
      </c>
      <c r="D8" s="619"/>
      <c r="E8" s="609"/>
      <c r="F8" s="610"/>
      <c r="G8" s="610"/>
      <c r="H8" s="610"/>
      <c r="I8" s="615"/>
    </row>
    <row r="9" spans="1:12" ht="24" customHeight="1" x14ac:dyDescent="0.25">
      <c r="A9" s="34">
        <f>1+A8</f>
        <v>2</v>
      </c>
      <c r="B9" s="155"/>
      <c r="C9" s="616" t="s">
        <v>225</v>
      </c>
      <c r="D9" s="617"/>
      <c r="E9" s="584"/>
      <c r="F9" s="585"/>
      <c r="G9" s="585"/>
      <c r="H9" s="585"/>
      <c r="I9" s="613"/>
    </row>
    <row r="10" spans="1:12" ht="24" customHeight="1" x14ac:dyDescent="0.25">
      <c r="A10" s="34">
        <f t="shared" ref="A10:A31" si="0">1+A9</f>
        <v>3</v>
      </c>
      <c r="B10" s="155"/>
      <c r="C10" s="616" t="s">
        <v>225</v>
      </c>
      <c r="D10" s="617"/>
      <c r="E10" s="584"/>
      <c r="F10" s="585"/>
      <c r="G10" s="585"/>
      <c r="H10" s="585"/>
      <c r="I10" s="613"/>
    </row>
    <row r="11" spans="1:12" ht="24" customHeight="1" x14ac:dyDescent="0.25">
      <c r="A11" s="34">
        <f t="shared" si="0"/>
        <v>4</v>
      </c>
      <c r="B11" s="155"/>
      <c r="C11" s="616" t="s">
        <v>225</v>
      </c>
      <c r="D11" s="617"/>
      <c r="E11" s="584"/>
      <c r="F11" s="585"/>
      <c r="G11" s="585"/>
      <c r="H11" s="585"/>
      <c r="I11" s="613"/>
    </row>
    <row r="12" spans="1:12" ht="24" customHeight="1" x14ac:dyDescent="0.25">
      <c r="A12" s="34">
        <f t="shared" si="0"/>
        <v>5</v>
      </c>
      <c r="B12" s="155"/>
      <c r="C12" s="616" t="s">
        <v>225</v>
      </c>
      <c r="D12" s="617"/>
      <c r="E12" s="584"/>
      <c r="F12" s="585"/>
      <c r="G12" s="585"/>
      <c r="H12" s="585"/>
      <c r="I12" s="613"/>
    </row>
    <row r="13" spans="1:12" ht="24" customHeight="1" x14ac:dyDescent="0.25">
      <c r="A13" s="34">
        <f t="shared" si="0"/>
        <v>6</v>
      </c>
      <c r="B13" s="155"/>
      <c r="C13" s="616" t="s">
        <v>225</v>
      </c>
      <c r="D13" s="617"/>
      <c r="E13" s="584"/>
      <c r="F13" s="585"/>
      <c r="G13" s="585"/>
      <c r="H13" s="585"/>
      <c r="I13" s="613"/>
    </row>
    <row r="14" spans="1:12" ht="24" customHeight="1" x14ac:dyDescent="0.25">
      <c r="A14" s="34">
        <f t="shared" si="0"/>
        <v>7</v>
      </c>
      <c r="B14" s="155"/>
      <c r="C14" s="616" t="s">
        <v>225</v>
      </c>
      <c r="D14" s="617"/>
      <c r="E14" s="584"/>
      <c r="F14" s="585"/>
      <c r="G14" s="585"/>
      <c r="H14" s="585"/>
      <c r="I14" s="613"/>
    </row>
    <row r="15" spans="1:12" ht="24" customHeight="1" x14ac:dyDescent="0.25">
      <c r="A15" s="34">
        <f t="shared" si="0"/>
        <v>8</v>
      </c>
      <c r="B15" s="155"/>
      <c r="C15" s="616" t="s">
        <v>225</v>
      </c>
      <c r="D15" s="617"/>
      <c r="E15" s="584"/>
      <c r="F15" s="585"/>
      <c r="G15" s="585"/>
      <c r="H15" s="585"/>
      <c r="I15" s="613"/>
    </row>
    <row r="16" spans="1:12" ht="24" customHeight="1" x14ac:dyDescent="0.25">
      <c r="A16" s="34">
        <f t="shared" si="0"/>
        <v>9</v>
      </c>
      <c r="B16" s="155"/>
      <c r="C16" s="616" t="s">
        <v>225</v>
      </c>
      <c r="D16" s="617"/>
      <c r="E16" s="584"/>
      <c r="F16" s="585"/>
      <c r="G16" s="585"/>
      <c r="H16" s="585"/>
      <c r="I16" s="613"/>
    </row>
    <row r="17" spans="1:12" ht="24" customHeight="1" x14ac:dyDescent="0.25">
      <c r="A17" s="34">
        <f t="shared" si="0"/>
        <v>10</v>
      </c>
      <c r="B17" s="155"/>
      <c r="C17" s="616" t="s">
        <v>225</v>
      </c>
      <c r="D17" s="617"/>
      <c r="E17" s="584"/>
      <c r="F17" s="585"/>
      <c r="G17" s="585"/>
      <c r="H17" s="585"/>
      <c r="I17" s="613"/>
    </row>
    <row r="18" spans="1:12" ht="24" customHeight="1" x14ac:dyDescent="0.25">
      <c r="A18" s="34">
        <f t="shared" si="0"/>
        <v>11</v>
      </c>
      <c r="B18" s="155"/>
      <c r="C18" s="616" t="s">
        <v>225</v>
      </c>
      <c r="D18" s="617"/>
      <c r="E18" s="584"/>
      <c r="F18" s="585"/>
      <c r="G18" s="585"/>
      <c r="H18" s="585"/>
      <c r="I18" s="613"/>
    </row>
    <row r="19" spans="1:12" ht="24" customHeight="1" x14ac:dyDescent="0.25">
      <c r="A19" s="34">
        <f t="shared" si="0"/>
        <v>12</v>
      </c>
      <c r="B19" s="155"/>
      <c r="C19" s="616" t="s">
        <v>225</v>
      </c>
      <c r="D19" s="617"/>
      <c r="E19" s="584"/>
      <c r="F19" s="585"/>
      <c r="G19" s="585"/>
      <c r="H19" s="585"/>
      <c r="I19" s="613"/>
    </row>
    <row r="20" spans="1:12" ht="24" customHeight="1" x14ac:dyDescent="0.25">
      <c r="A20" s="34">
        <f t="shared" si="0"/>
        <v>13</v>
      </c>
      <c r="B20" s="155"/>
      <c r="C20" s="616" t="s">
        <v>225</v>
      </c>
      <c r="D20" s="617"/>
      <c r="E20" s="584"/>
      <c r="F20" s="585"/>
      <c r="G20" s="585"/>
      <c r="H20" s="585"/>
      <c r="I20" s="613"/>
    </row>
    <row r="21" spans="1:12" ht="24" customHeight="1" x14ac:dyDescent="0.25">
      <c r="A21" s="34">
        <f t="shared" si="0"/>
        <v>14</v>
      </c>
      <c r="B21" s="155"/>
      <c r="C21" s="616" t="s">
        <v>225</v>
      </c>
      <c r="D21" s="617"/>
      <c r="E21" s="584"/>
      <c r="F21" s="585"/>
      <c r="G21" s="585"/>
      <c r="H21" s="585"/>
      <c r="I21" s="613"/>
    </row>
    <row r="22" spans="1:12" ht="24" customHeight="1" x14ac:dyDescent="0.25">
      <c r="A22" s="34">
        <f t="shared" si="0"/>
        <v>15</v>
      </c>
      <c r="B22" s="155"/>
      <c r="C22" s="616" t="s">
        <v>225</v>
      </c>
      <c r="D22" s="617"/>
      <c r="E22" s="584"/>
      <c r="F22" s="585"/>
      <c r="G22" s="585"/>
      <c r="H22" s="585"/>
      <c r="I22" s="613"/>
    </row>
    <row r="23" spans="1:12" ht="24" customHeight="1" x14ac:dyDescent="0.25">
      <c r="A23" s="34">
        <f t="shared" si="0"/>
        <v>16</v>
      </c>
      <c r="B23" s="155"/>
      <c r="C23" s="616" t="s">
        <v>225</v>
      </c>
      <c r="D23" s="617"/>
      <c r="E23" s="584"/>
      <c r="F23" s="585"/>
      <c r="G23" s="585"/>
      <c r="H23" s="585"/>
      <c r="I23" s="613"/>
    </row>
    <row r="24" spans="1:12" ht="24" customHeight="1" x14ac:dyDescent="0.25">
      <c r="A24" s="34">
        <f t="shared" si="0"/>
        <v>17</v>
      </c>
      <c r="B24" s="155"/>
      <c r="C24" s="616" t="s">
        <v>225</v>
      </c>
      <c r="D24" s="617"/>
      <c r="E24" s="584"/>
      <c r="F24" s="585"/>
      <c r="G24" s="585"/>
      <c r="H24" s="585"/>
      <c r="I24" s="613"/>
    </row>
    <row r="25" spans="1:12" ht="24" customHeight="1" x14ac:dyDescent="0.25">
      <c r="A25" s="34">
        <f t="shared" si="0"/>
        <v>18</v>
      </c>
      <c r="B25" s="155"/>
      <c r="C25" s="616" t="s">
        <v>225</v>
      </c>
      <c r="D25" s="617"/>
      <c r="E25" s="584"/>
      <c r="F25" s="585"/>
      <c r="G25" s="585"/>
      <c r="H25" s="585"/>
      <c r="I25" s="613"/>
    </row>
    <row r="26" spans="1:12" ht="24" customHeight="1" x14ac:dyDescent="0.25">
      <c r="A26" s="34">
        <f t="shared" si="0"/>
        <v>19</v>
      </c>
      <c r="B26" s="155"/>
      <c r="C26" s="616" t="s">
        <v>225</v>
      </c>
      <c r="D26" s="617"/>
      <c r="E26" s="584"/>
      <c r="F26" s="585"/>
      <c r="G26" s="585"/>
      <c r="H26" s="585"/>
      <c r="I26" s="613"/>
    </row>
    <row r="27" spans="1:12" ht="24" customHeight="1" x14ac:dyDescent="0.25">
      <c r="A27" s="34">
        <f t="shared" si="0"/>
        <v>20</v>
      </c>
      <c r="B27" s="155"/>
      <c r="C27" s="616" t="s">
        <v>225</v>
      </c>
      <c r="D27" s="617"/>
      <c r="E27" s="584"/>
      <c r="F27" s="585"/>
      <c r="G27" s="585"/>
      <c r="H27" s="585"/>
      <c r="I27" s="613"/>
    </row>
    <row r="28" spans="1:12" ht="24" customHeight="1" x14ac:dyDescent="0.25">
      <c r="A28" s="34">
        <f t="shared" si="0"/>
        <v>21</v>
      </c>
      <c r="B28" s="155"/>
      <c r="C28" s="616" t="s">
        <v>225</v>
      </c>
      <c r="D28" s="617"/>
      <c r="E28" s="584"/>
      <c r="F28" s="585"/>
      <c r="G28" s="585"/>
      <c r="H28" s="585"/>
      <c r="I28" s="613"/>
    </row>
    <row r="29" spans="1:12" ht="24" customHeight="1" x14ac:dyDescent="0.25">
      <c r="A29" s="34">
        <f t="shared" si="0"/>
        <v>22</v>
      </c>
      <c r="B29" s="155"/>
      <c r="C29" s="616" t="s">
        <v>225</v>
      </c>
      <c r="D29" s="617"/>
      <c r="E29" s="584"/>
      <c r="F29" s="585"/>
      <c r="G29" s="585"/>
      <c r="H29" s="585"/>
      <c r="I29" s="613"/>
    </row>
    <row r="30" spans="1:12" ht="24" customHeight="1" x14ac:dyDescent="0.25">
      <c r="A30" s="34">
        <f t="shared" si="0"/>
        <v>23</v>
      </c>
      <c r="B30" s="155"/>
      <c r="C30" s="616" t="s">
        <v>225</v>
      </c>
      <c r="D30" s="617"/>
      <c r="E30" s="584"/>
      <c r="F30" s="585"/>
      <c r="G30" s="585"/>
      <c r="H30" s="585"/>
      <c r="I30" s="613"/>
    </row>
    <row r="31" spans="1:12" ht="24" customHeight="1" thickBot="1" x14ac:dyDescent="0.3">
      <c r="A31" s="34">
        <f t="shared" si="0"/>
        <v>24</v>
      </c>
      <c r="B31" s="156"/>
      <c r="C31" s="620" t="s">
        <v>225</v>
      </c>
      <c r="D31" s="621"/>
      <c r="E31" s="599"/>
      <c r="F31" s="600"/>
      <c r="G31" s="600"/>
      <c r="H31" s="600"/>
      <c r="I31" s="614"/>
      <c r="K31" s="49"/>
      <c r="L31" s="49"/>
    </row>
    <row r="32" spans="1:12" s="49" customFormat="1" ht="3" customHeight="1" x14ac:dyDescent="0.25">
      <c r="A32" s="276"/>
      <c r="B32" s="276"/>
      <c r="C32" s="276"/>
      <c r="D32" s="276"/>
      <c r="E32" s="276"/>
      <c r="F32" s="115"/>
      <c r="G32" s="115"/>
      <c r="H32" s="115"/>
      <c r="I32" s="28"/>
    </row>
  </sheetData>
  <mergeCells count="61">
    <mergeCell ref="C1:F1"/>
    <mergeCell ref="G1:I1"/>
    <mergeCell ref="C2:F2"/>
    <mergeCell ref="G2:I2"/>
    <mergeCell ref="B3:C3"/>
    <mergeCell ref="H3:I3"/>
    <mergeCell ref="H4:I4"/>
    <mergeCell ref="A5:I5"/>
    <mergeCell ref="A6:A7"/>
    <mergeCell ref="B6:B7"/>
    <mergeCell ref="C6:D6"/>
    <mergeCell ref="E6:I7"/>
    <mergeCell ref="C7:D7"/>
    <mergeCell ref="C8:D8"/>
    <mergeCell ref="E8:I8"/>
    <mergeCell ref="C9:D9"/>
    <mergeCell ref="E9:I9"/>
    <mergeCell ref="C10:D10"/>
    <mergeCell ref="E10:I10"/>
    <mergeCell ref="C11:D11"/>
    <mergeCell ref="E11:I11"/>
    <mergeCell ref="C12:D12"/>
    <mergeCell ref="E12:I12"/>
    <mergeCell ref="C13:D13"/>
    <mergeCell ref="E13:I13"/>
    <mergeCell ref="C14:D14"/>
    <mergeCell ref="E14:I14"/>
    <mergeCell ref="C15:D15"/>
    <mergeCell ref="E15:I15"/>
    <mergeCell ref="C16:D16"/>
    <mergeCell ref="E16:I16"/>
    <mergeCell ref="C17:D17"/>
    <mergeCell ref="E17:I17"/>
    <mergeCell ref="C18:D18"/>
    <mergeCell ref="E18:I18"/>
    <mergeCell ref="C19:D19"/>
    <mergeCell ref="E19:I19"/>
    <mergeCell ref="C20:D20"/>
    <mergeCell ref="E20:I20"/>
    <mergeCell ref="C21:D21"/>
    <mergeCell ref="E21:I21"/>
    <mergeCell ref="C22:D22"/>
    <mergeCell ref="E22:I22"/>
    <mergeCell ref="C23:D23"/>
    <mergeCell ref="E23:I23"/>
    <mergeCell ref="C24:D24"/>
    <mergeCell ref="E24:I24"/>
    <mergeCell ref="C25:D25"/>
    <mergeCell ref="E25:I25"/>
    <mergeCell ref="C26:D26"/>
    <mergeCell ref="E26:I26"/>
    <mergeCell ref="C27:D27"/>
    <mergeCell ref="E27:I27"/>
    <mergeCell ref="C28:D28"/>
    <mergeCell ref="E28:I28"/>
    <mergeCell ref="C29:D29"/>
    <mergeCell ref="E29:I29"/>
    <mergeCell ref="C30:D30"/>
    <mergeCell ref="E30:I30"/>
    <mergeCell ref="C31:D31"/>
    <mergeCell ref="E31:I31"/>
  </mergeCells>
  <pageMargins left="0.70866141732283472" right="0.70866141732283472" top="0.74803149606299213" bottom="0.74803149606299213" header="0.31496062992125984" footer="0.31496062992125984"/>
  <pageSetup paperSize="9" orientation="portrait" horizont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L32"/>
  <sheetViews>
    <sheetView view="pageBreakPreview" zoomScaleSheetLayoutView="100" workbookViewId="0"/>
  </sheetViews>
  <sheetFormatPr defaultColWidth="9.140625" defaultRowHeight="15" x14ac:dyDescent="0.25"/>
  <cols>
    <col min="1" max="6" width="9.140625" style="17"/>
    <col min="7" max="7" width="9.140625" style="17" customWidth="1"/>
    <col min="8" max="10" width="9.140625" style="17"/>
    <col min="11" max="11" width="22.42578125" style="17" customWidth="1"/>
    <col min="12" max="16384" width="9.140625" style="17"/>
  </cols>
  <sheetData>
    <row r="1" spans="1:12" ht="21" customHeight="1" x14ac:dyDescent="0.25">
      <c r="A1" s="31"/>
      <c r="B1" s="163"/>
      <c r="C1" s="587" t="str">
        <f>НазваниеКраткое</f>
        <v>Западные ворота - 2017</v>
      </c>
      <c r="D1" s="582"/>
      <c r="E1" s="582"/>
      <c r="F1" s="588"/>
      <c r="G1" s="590" t="str">
        <f ca="1">INDIRECT(ADDRESS(L3,1,,,"Общее"))</f>
        <v>ВКВ-1</v>
      </c>
      <c r="H1" s="591"/>
      <c r="I1" s="592"/>
    </row>
    <row r="2" spans="1:12" ht="21" customHeight="1" thickBot="1" x14ac:dyDescent="0.3">
      <c r="A2" s="31"/>
      <c r="B2" s="164"/>
      <c r="C2" s="583" t="s">
        <v>11</v>
      </c>
      <c r="D2" s="583"/>
      <c r="E2" s="583"/>
      <c r="F2" s="589"/>
      <c r="G2" s="593" t="s">
        <v>187</v>
      </c>
      <c r="H2" s="594"/>
      <c r="I2" s="595"/>
    </row>
    <row r="3" spans="1:12" ht="21" customHeight="1" x14ac:dyDescent="0.25">
      <c r="A3" s="106" t="s">
        <v>12</v>
      </c>
      <c r="B3" s="597" t="str">
        <f ca="1">INDIRECT(ADDRESS(L3,14,,,"Общее"))</f>
        <v>Грушин</v>
      </c>
      <c r="C3" s="598"/>
      <c r="D3" s="107" t="s">
        <v>184</v>
      </c>
      <c r="E3" s="112" t="s">
        <v>181</v>
      </c>
      <c r="F3" s="110">
        <f ca="1">INDIRECT(ADDRESS(L3,11,,,"Общее"))</f>
        <v>0.48003465787799321</v>
      </c>
      <c r="G3" s="112" t="s">
        <v>180</v>
      </c>
      <c r="H3" s="602" t="s">
        <v>225</v>
      </c>
      <c r="I3" s="603"/>
      <c r="K3" s="17" t="s">
        <v>207</v>
      </c>
      <c r="L3" s="17">
        <v>19</v>
      </c>
    </row>
    <row r="4" spans="1:12" ht="21" customHeight="1" thickBot="1" x14ac:dyDescent="0.3">
      <c r="A4" s="108" t="s">
        <v>183</v>
      </c>
      <c r="B4" s="161"/>
      <c r="C4" s="114"/>
      <c r="D4" s="109" t="s">
        <v>185</v>
      </c>
      <c r="E4" s="113" t="s">
        <v>181</v>
      </c>
      <c r="F4" s="111">
        <f ca="1">INDIRECT(ADDRESS(L3,13,,,"Общее"))</f>
        <v>0.53559021343354873</v>
      </c>
      <c r="G4" s="113" t="s">
        <v>180</v>
      </c>
      <c r="H4" s="604" t="s">
        <v>225</v>
      </c>
      <c r="I4" s="605"/>
    </row>
    <row r="5" spans="1:12" ht="50.1" customHeight="1" thickBot="1" x14ac:dyDescent="0.3">
      <c r="A5" s="643" t="s">
        <v>385</v>
      </c>
      <c r="B5" s="643"/>
      <c r="C5" s="643"/>
      <c r="D5" s="643"/>
      <c r="E5" s="643"/>
      <c r="F5" s="643"/>
      <c r="G5" s="643"/>
      <c r="H5" s="643"/>
      <c r="I5" s="643"/>
    </row>
    <row r="6" spans="1:12" ht="21" customHeight="1" x14ac:dyDescent="0.25">
      <c r="A6" s="629"/>
      <c r="B6" s="631" t="s">
        <v>0</v>
      </c>
      <c r="C6" s="633" t="s">
        <v>313</v>
      </c>
      <c r="D6" s="634"/>
      <c r="E6" s="637" t="s">
        <v>90</v>
      </c>
      <c r="F6" s="638"/>
      <c r="G6" s="638"/>
      <c r="H6" s="638"/>
      <c r="I6" s="639"/>
    </row>
    <row r="7" spans="1:12" ht="21" customHeight="1" x14ac:dyDescent="0.25">
      <c r="A7" s="630"/>
      <c r="B7" s="632"/>
      <c r="C7" s="635" t="s">
        <v>226</v>
      </c>
      <c r="D7" s="636"/>
      <c r="E7" s="640"/>
      <c r="F7" s="641"/>
      <c r="G7" s="641"/>
      <c r="H7" s="641"/>
      <c r="I7" s="642"/>
    </row>
    <row r="8" spans="1:12" ht="24" customHeight="1" x14ac:dyDescent="0.25">
      <c r="A8" s="40">
        <v>1</v>
      </c>
      <c r="B8" s="154"/>
      <c r="C8" s="618" t="s">
        <v>225</v>
      </c>
      <c r="D8" s="619"/>
      <c r="E8" s="609"/>
      <c r="F8" s="610"/>
      <c r="G8" s="610"/>
      <c r="H8" s="610"/>
      <c r="I8" s="615"/>
    </row>
    <row r="9" spans="1:12" ht="24" customHeight="1" x14ac:dyDescent="0.25">
      <c r="A9" s="34">
        <f>1+A8</f>
        <v>2</v>
      </c>
      <c r="B9" s="155"/>
      <c r="C9" s="616" t="s">
        <v>225</v>
      </c>
      <c r="D9" s="617"/>
      <c r="E9" s="584"/>
      <c r="F9" s="585"/>
      <c r="G9" s="585"/>
      <c r="H9" s="585"/>
      <c r="I9" s="613"/>
    </row>
    <row r="10" spans="1:12" ht="24" customHeight="1" x14ac:dyDescent="0.25">
      <c r="A10" s="34">
        <f t="shared" ref="A10:A31" si="0">1+A9</f>
        <v>3</v>
      </c>
      <c r="B10" s="155"/>
      <c r="C10" s="616" t="s">
        <v>225</v>
      </c>
      <c r="D10" s="617"/>
      <c r="E10" s="584"/>
      <c r="F10" s="585"/>
      <c r="G10" s="585"/>
      <c r="H10" s="585"/>
      <c r="I10" s="613"/>
    </row>
    <row r="11" spans="1:12" ht="24" customHeight="1" x14ac:dyDescent="0.25">
      <c r="A11" s="34">
        <f t="shared" si="0"/>
        <v>4</v>
      </c>
      <c r="B11" s="155"/>
      <c r="C11" s="616" t="s">
        <v>225</v>
      </c>
      <c r="D11" s="617"/>
      <c r="E11" s="584"/>
      <c r="F11" s="585"/>
      <c r="G11" s="585"/>
      <c r="H11" s="585"/>
      <c r="I11" s="613"/>
    </row>
    <row r="12" spans="1:12" ht="24" customHeight="1" x14ac:dyDescent="0.25">
      <c r="A12" s="34">
        <f t="shared" si="0"/>
        <v>5</v>
      </c>
      <c r="B12" s="155"/>
      <c r="C12" s="616" t="s">
        <v>225</v>
      </c>
      <c r="D12" s="617"/>
      <c r="E12" s="584"/>
      <c r="F12" s="585"/>
      <c r="G12" s="585"/>
      <c r="H12" s="585"/>
      <c r="I12" s="613"/>
    </row>
    <row r="13" spans="1:12" ht="24" customHeight="1" x14ac:dyDescent="0.25">
      <c r="A13" s="34">
        <f t="shared" si="0"/>
        <v>6</v>
      </c>
      <c r="B13" s="155"/>
      <c r="C13" s="616" t="s">
        <v>225</v>
      </c>
      <c r="D13" s="617"/>
      <c r="E13" s="584"/>
      <c r="F13" s="585"/>
      <c r="G13" s="585"/>
      <c r="H13" s="585"/>
      <c r="I13" s="613"/>
    </row>
    <row r="14" spans="1:12" ht="24" customHeight="1" x14ac:dyDescent="0.25">
      <c r="A14" s="34">
        <f t="shared" si="0"/>
        <v>7</v>
      </c>
      <c r="B14" s="155"/>
      <c r="C14" s="616" t="s">
        <v>225</v>
      </c>
      <c r="D14" s="617"/>
      <c r="E14" s="584"/>
      <c r="F14" s="585"/>
      <c r="G14" s="585"/>
      <c r="H14" s="585"/>
      <c r="I14" s="613"/>
    </row>
    <row r="15" spans="1:12" ht="24" customHeight="1" x14ac:dyDescent="0.25">
      <c r="A15" s="34">
        <f t="shared" si="0"/>
        <v>8</v>
      </c>
      <c r="B15" s="155"/>
      <c r="C15" s="616" t="s">
        <v>225</v>
      </c>
      <c r="D15" s="617"/>
      <c r="E15" s="584"/>
      <c r="F15" s="585"/>
      <c r="G15" s="585"/>
      <c r="H15" s="585"/>
      <c r="I15" s="613"/>
    </row>
    <row r="16" spans="1:12" ht="24" customHeight="1" x14ac:dyDescent="0.25">
      <c r="A16" s="34">
        <f t="shared" si="0"/>
        <v>9</v>
      </c>
      <c r="B16" s="155"/>
      <c r="C16" s="616" t="s">
        <v>225</v>
      </c>
      <c r="D16" s="617"/>
      <c r="E16" s="584"/>
      <c r="F16" s="585"/>
      <c r="G16" s="585"/>
      <c r="H16" s="585"/>
      <c r="I16" s="613"/>
    </row>
    <row r="17" spans="1:12" ht="24" customHeight="1" x14ac:dyDescent="0.25">
      <c r="A17" s="34">
        <f t="shared" si="0"/>
        <v>10</v>
      </c>
      <c r="B17" s="155"/>
      <c r="C17" s="616" t="s">
        <v>225</v>
      </c>
      <c r="D17" s="617"/>
      <c r="E17" s="584"/>
      <c r="F17" s="585"/>
      <c r="G17" s="585"/>
      <c r="H17" s="585"/>
      <c r="I17" s="613"/>
    </row>
    <row r="18" spans="1:12" ht="24" customHeight="1" x14ac:dyDescent="0.25">
      <c r="A18" s="34">
        <f t="shared" si="0"/>
        <v>11</v>
      </c>
      <c r="B18" s="155"/>
      <c r="C18" s="616" t="s">
        <v>225</v>
      </c>
      <c r="D18" s="617"/>
      <c r="E18" s="584"/>
      <c r="F18" s="585"/>
      <c r="G18" s="585"/>
      <c r="H18" s="585"/>
      <c r="I18" s="613"/>
    </row>
    <row r="19" spans="1:12" ht="24" customHeight="1" x14ac:dyDescent="0.25">
      <c r="A19" s="34">
        <f t="shared" si="0"/>
        <v>12</v>
      </c>
      <c r="B19" s="155"/>
      <c r="C19" s="616" t="s">
        <v>225</v>
      </c>
      <c r="D19" s="617"/>
      <c r="E19" s="584"/>
      <c r="F19" s="585"/>
      <c r="G19" s="585"/>
      <c r="H19" s="585"/>
      <c r="I19" s="613"/>
    </row>
    <row r="20" spans="1:12" ht="24" customHeight="1" x14ac:dyDescent="0.25">
      <c r="A20" s="34">
        <f t="shared" si="0"/>
        <v>13</v>
      </c>
      <c r="B20" s="155"/>
      <c r="C20" s="616" t="s">
        <v>225</v>
      </c>
      <c r="D20" s="617"/>
      <c r="E20" s="584"/>
      <c r="F20" s="585"/>
      <c r="G20" s="585"/>
      <c r="H20" s="585"/>
      <c r="I20" s="613"/>
    </row>
    <row r="21" spans="1:12" ht="24" customHeight="1" x14ac:dyDescent="0.25">
      <c r="A21" s="34">
        <f t="shared" si="0"/>
        <v>14</v>
      </c>
      <c r="B21" s="155"/>
      <c r="C21" s="616" t="s">
        <v>225</v>
      </c>
      <c r="D21" s="617"/>
      <c r="E21" s="584"/>
      <c r="F21" s="585"/>
      <c r="G21" s="585"/>
      <c r="H21" s="585"/>
      <c r="I21" s="613"/>
    </row>
    <row r="22" spans="1:12" ht="24" customHeight="1" x14ac:dyDescent="0.25">
      <c r="A22" s="34">
        <f t="shared" si="0"/>
        <v>15</v>
      </c>
      <c r="B22" s="155"/>
      <c r="C22" s="616" t="s">
        <v>225</v>
      </c>
      <c r="D22" s="617"/>
      <c r="E22" s="584"/>
      <c r="F22" s="585"/>
      <c r="G22" s="585"/>
      <c r="H22" s="585"/>
      <c r="I22" s="613"/>
    </row>
    <row r="23" spans="1:12" ht="24" customHeight="1" x14ac:dyDescent="0.25">
      <c r="A23" s="34">
        <f t="shared" si="0"/>
        <v>16</v>
      </c>
      <c r="B23" s="155"/>
      <c r="C23" s="616" t="s">
        <v>225</v>
      </c>
      <c r="D23" s="617"/>
      <c r="E23" s="584"/>
      <c r="F23" s="585"/>
      <c r="G23" s="585"/>
      <c r="H23" s="585"/>
      <c r="I23" s="613"/>
    </row>
    <row r="24" spans="1:12" ht="24" customHeight="1" x14ac:dyDescent="0.25">
      <c r="A24" s="34">
        <f t="shared" si="0"/>
        <v>17</v>
      </c>
      <c r="B24" s="155"/>
      <c r="C24" s="616" t="s">
        <v>225</v>
      </c>
      <c r="D24" s="617"/>
      <c r="E24" s="584"/>
      <c r="F24" s="585"/>
      <c r="G24" s="585"/>
      <c r="H24" s="585"/>
      <c r="I24" s="613"/>
    </row>
    <row r="25" spans="1:12" ht="24" customHeight="1" x14ac:dyDescent="0.25">
      <c r="A25" s="34">
        <f t="shared" si="0"/>
        <v>18</v>
      </c>
      <c r="B25" s="155"/>
      <c r="C25" s="616" t="s">
        <v>225</v>
      </c>
      <c r="D25" s="617"/>
      <c r="E25" s="584"/>
      <c r="F25" s="585"/>
      <c r="G25" s="585"/>
      <c r="H25" s="585"/>
      <c r="I25" s="613"/>
    </row>
    <row r="26" spans="1:12" ht="24" customHeight="1" x14ac:dyDescent="0.25">
      <c r="A26" s="34">
        <f t="shared" si="0"/>
        <v>19</v>
      </c>
      <c r="B26" s="155"/>
      <c r="C26" s="616" t="s">
        <v>225</v>
      </c>
      <c r="D26" s="617"/>
      <c r="E26" s="584"/>
      <c r="F26" s="585"/>
      <c r="G26" s="585"/>
      <c r="H26" s="585"/>
      <c r="I26" s="613"/>
    </row>
    <row r="27" spans="1:12" ht="24" customHeight="1" x14ac:dyDescent="0.25">
      <c r="A27" s="34">
        <f t="shared" si="0"/>
        <v>20</v>
      </c>
      <c r="B27" s="155"/>
      <c r="C27" s="616" t="s">
        <v>225</v>
      </c>
      <c r="D27" s="617"/>
      <c r="E27" s="584"/>
      <c r="F27" s="585"/>
      <c r="G27" s="585"/>
      <c r="H27" s="585"/>
      <c r="I27" s="613"/>
    </row>
    <row r="28" spans="1:12" ht="24" customHeight="1" x14ac:dyDescent="0.25">
      <c r="A28" s="34">
        <f t="shared" si="0"/>
        <v>21</v>
      </c>
      <c r="B28" s="155"/>
      <c r="C28" s="616" t="s">
        <v>225</v>
      </c>
      <c r="D28" s="617"/>
      <c r="E28" s="584"/>
      <c r="F28" s="585"/>
      <c r="G28" s="585"/>
      <c r="H28" s="585"/>
      <c r="I28" s="613"/>
    </row>
    <row r="29" spans="1:12" ht="24" customHeight="1" x14ac:dyDescent="0.25">
      <c r="A29" s="34">
        <f t="shared" si="0"/>
        <v>22</v>
      </c>
      <c r="B29" s="155"/>
      <c r="C29" s="616" t="s">
        <v>225</v>
      </c>
      <c r="D29" s="617"/>
      <c r="E29" s="584"/>
      <c r="F29" s="585"/>
      <c r="G29" s="585"/>
      <c r="H29" s="585"/>
      <c r="I29" s="613"/>
    </row>
    <row r="30" spans="1:12" ht="24" customHeight="1" x14ac:dyDescent="0.25">
      <c r="A30" s="34">
        <f t="shared" si="0"/>
        <v>23</v>
      </c>
      <c r="B30" s="155"/>
      <c r="C30" s="616" t="s">
        <v>225</v>
      </c>
      <c r="D30" s="617"/>
      <c r="E30" s="584"/>
      <c r="F30" s="585"/>
      <c r="G30" s="585"/>
      <c r="H30" s="585"/>
      <c r="I30" s="613"/>
    </row>
    <row r="31" spans="1:12" ht="24" customHeight="1" thickBot="1" x14ac:dyDescent="0.3">
      <c r="A31" s="34">
        <f t="shared" si="0"/>
        <v>24</v>
      </c>
      <c r="B31" s="156"/>
      <c r="C31" s="620" t="s">
        <v>225</v>
      </c>
      <c r="D31" s="621"/>
      <c r="E31" s="599"/>
      <c r="F31" s="600"/>
      <c r="G31" s="600"/>
      <c r="H31" s="600"/>
      <c r="I31" s="614"/>
      <c r="K31" s="49"/>
      <c r="L31" s="49"/>
    </row>
    <row r="32" spans="1:12" s="49" customFormat="1" ht="3" customHeight="1" x14ac:dyDescent="0.25">
      <c r="A32" s="32"/>
      <c r="B32" s="32"/>
      <c r="C32" s="32"/>
      <c r="D32" s="32"/>
      <c r="E32" s="32"/>
      <c r="F32" s="115"/>
      <c r="G32" s="115"/>
      <c r="H32" s="115"/>
      <c r="I32" s="28"/>
    </row>
  </sheetData>
  <mergeCells count="61">
    <mergeCell ref="C26:D26"/>
    <mergeCell ref="C27:D27"/>
    <mergeCell ref="C28:D28"/>
    <mergeCell ref="C29:D29"/>
    <mergeCell ref="C30:D30"/>
    <mergeCell ref="E31:I31"/>
    <mergeCell ref="H3:I3"/>
    <mergeCell ref="H4:I4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31:D31"/>
    <mergeCell ref="E26:I26"/>
    <mergeCell ref="E27:I27"/>
    <mergeCell ref="E28:I28"/>
    <mergeCell ref="E29:I29"/>
    <mergeCell ref="E30:I30"/>
    <mergeCell ref="A6:A7"/>
    <mergeCell ref="E10:I10"/>
    <mergeCell ref="E11:I11"/>
    <mergeCell ref="E12:I12"/>
    <mergeCell ref="E13:I13"/>
    <mergeCell ref="C1:F1"/>
    <mergeCell ref="G1:I1"/>
    <mergeCell ref="C2:F2"/>
    <mergeCell ref="G2:I2"/>
    <mergeCell ref="A5:I5"/>
    <mergeCell ref="B3:C3"/>
    <mergeCell ref="C23:D23"/>
    <mergeCell ref="C24:D24"/>
    <mergeCell ref="B6:B7"/>
    <mergeCell ref="C6:D6"/>
    <mergeCell ref="E6:I7"/>
    <mergeCell ref="E8:I8"/>
    <mergeCell ref="E9:I9"/>
    <mergeCell ref="E14:I14"/>
    <mergeCell ref="C25:D25"/>
    <mergeCell ref="E15:I15"/>
    <mergeCell ref="E16:I16"/>
    <mergeCell ref="E17:I17"/>
    <mergeCell ref="E18:I18"/>
    <mergeCell ref="E19:I19"/>
    <mergeCell ref="E20:I20"/>
    <mergeCell ref="E21:I21"/>
    <mergeCell ref="E22:I22"/>
    <mergeCell ref="E23:I23"/>
    <mergeCell ref="E24:I24"/>
    <mergeCell ref="C19:D19"/>
    <mergeCell ref="C20:D20"/>
    <mergeCell ref="E25:I25"/>
    <mergeCell ref="C21:D21"/>
    <mergeCell ref="C22:D22"/>
  </mergeCells>
  <pageMargins left="0.70866141732283472" right="0.70866141732283472" top="0.74803149606299213" bottom="0.74803149606299213" header="0.31496062992125984" footer="0.31496062992125984"/>
  <pageSetup paperSize="9" orientation="portrait" horizont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L128"/>
  <sheetViews>
    <sheetView view="pageBreakPreview" zoomScaleSheetLayoutView="100" workbookViewId="0"/>
  </sheetViews>
  <sheetFormatPr defaultColWidth="9.140625" defaultRowHeight="15" x14ac:dyDescent="0.25"/>
  <cols>
    <col min="1" max="6" width="9.140625" style="17"/>
    <col min="7" max="7" width="9.140625" style="17" customWidth="1"/>
    <col min="8" max="10" width="9.140625" style="17"/>
    <col min="11" max="11" width="22.42578125" style="17" customWidth="1"/>
    <col min="12" max="16384" width="9.140625" style="17"/>
  </cols>
  <sheetData>
    <row r="1" spans="1:12" ht="21" customHeight="1" x14ac:dyDescent="0.25">
      <c r="A1" s="31"/>
      <c r="B1" s="163"/>
      <c r="C1" s="587" t="str">
        <f>НазваниеКраткое</f>
        <v>Западные ворота - 2017</v>
      </c>
      <c r="D1" s="582"/>
      <c r="E1" s="582"/>
      <c r="F1" s="588"/>
      <c r="G1" s="590" t="str">
        <f ca="1">INDIRECT(ADDRESS(L3,1,,,"Общее"))</f>
        <v>ДС-2 РУ Старт</v>
      </c>
      <c r="H1" s="591"/>
      <c r="I1" s="592"/>
    </row>
    <row r="2" spans="1:12" ht="21" customHeight="1" thickBot="1" x14ac:dyDescent="0.3">
      <c r="A2" s="31"/>
      <c r="B2" s="164"/>
      <c r="C2" s="583" t="s">
        <v>11</v>
      </c>
      <c r="D2" s="583"/>
      <c r="E2" s="583"/>
      <c r="F2" s="589"/>
      <c r="G2" s="593" t="s">
        <v>187</v>
      </c>
      <c r="H2" s="594"/>
      <c r="I2" s="595"/>
    </row>
    <row r="3" spans="1:12" ht="21" customHeight="1" x14ac:dyDescent="0.25">
      <c r="A3" s="106" t="s">
        <v>12</v>
      </c>
      <c r="B3" s="597" t="str">
        <f ca="1">INDIRECT(ADDRESS(L3,14,,,"Общее"))</f>
        <v>Филоненко</v>
      </c>
      <c r="C3" s="598"/>
      <c r="D3" s="107" t="s">
        <v>184</v>
      </c>
      <c r="E3" s="112" t="s">
        <v>181</v>
      </c>
      <c r="F3" s="110">
        <f ca="1">INDIRECT(ADDRESS(L3,11,,,"Общее"))</f>
        <v>0.46681832374325355</v>
      </c>
      <c r="G3" s="112" t="s">
        <v>180</v>
      </c>
      <c r="H3" s="602" t="s">
        <v>225</v>
      </c>
      <c r="I3" s="603"/>
      <c r="K3" s="17" t="s">
        <v>207</v>
      </c>
      <c r="L3" s="17">
        <v>15</v>
      </c>
    </row>
    <row r="4" spans="1:12" ht="21" customHeight="1" thickBot="1" x14ac:dyDescent="0.3">
      <c r="A4" s="108" t="s">
        <v>183</v>
      </c>
      <c r="B4" s="161"/>
      <c r="C4" s="114"/>
      <c r="D4" s="109" t="s">
        <v>185</v>
      </c>
      <c r="E4" s="113" t="s">
        <v>181</v>
      </c>
      <c r="F4" s="111">
        <f ca="1">INDIRECT(ADDRESS(L3,13,,,"Общее"))</f>
        <v>0.52237387929880907</v>
      </c>
      <c r="G4" s="113" t="s">
        <v>180</v>
      </c>
      <c r="H4" s="604" t="s">
        <v>225</v>
      </c>
      <c r="I4" s="605"/>
    </row>
    <row r="5" spans="1:12" ht="50.1" customHeight="1" thickBot="1" x14ac:dyDescent="0.3">
      <c r="A5" s="628" t="s">
        <v>261</v>
      </c>
      <c r="B5" s="628"/>
      <c r="C5" s="628"/>
      <c r="D5" s="628"/>
      <c r="E5" s="628"/>
      <c r="F5" s="628"/>
      <c r="G5" s="628"/>
      <c r="H5" s="628"/>
      <c r="I5" s="628"/>
    </row>
    <row r="6" spans="1:12" ht="21" customHeight="1" x14ac:dyDescent="0.25">
      <c r="A6" s="629"/>
      <c r="B6" s="631" t="s">
        <v>0</v>
      </c>
      <c r="C6" s="633" t="s">
        <v>70</v>
      </c>
      <c r="D6" s="634"/>
      <c r="E6" s="633" t="s">
        <v>40</v>
      </c>
      <c r="F6" s="634"/>
      <c r="G6" s="637" t="s">
        <v>90</v>
      </c>
      <c r="H6" s="638"/>
      <c r="I6" s="639"/>
    </row>
    <row r="7" spans="1:12" ht="21" customHeight="1" x14ac:dyDescent="0.25">
      <c r="A7" s="630"/>
      <c r="B7" s="632"/>
      <c r="C7" s="635" t="s">
        <v>226</v>
      </c>
      <c r="D7" s="636"/>
      <c r="E7" s="635" t="s">
        <v>226</v>
      </c>
      <c r="F7" s="636"/>
      <c r="G7" s="640"/>
      <c r="H7" s="641"/>
      <c r="I7" s="642"/>
    </row>
    <row r="8" spans="1:12" ht="24" customHeight="1" x14ac:dyDescent="0.25">
      <c r="A8" s="40">
        <v>1</v>
      </c>
      <c r="B8" s="381"/>
      <c r="C8" s="618" t="s">
        <v>225</v>
      </c>
      <c r="D8" s="619"/>
      <c r="E8" s="618" t="s">
        <v>225</v>
      </c>
      <c r="F8" s="619"/>
      <c r="G8" s="656"/>
      <c r="H8" s="657"/>
      <c r="I8" s="658"/>
    </row>
    <row r="9" spans="1:12" ht="24" customHeight="1" x14ac:dyDescent="0.25">
      <c r="A9" s="34">
        <f>1+A8</f>
        <v>2</v>
      </c>
      <c r="B9" s="155"/>
      <c r="C9" s="616" t="s">
        <v>225</v>
      </c>
      <c r="D9" s="617"/>
      <c r="E9" s="616" t="s">
        <v>225</v>
      </c>
      <c r="F9" s="617"/>
      <c r="G9" s="646"/>
      <c r="H9" s="647"/>
      <c r="I9" s="648"/>
    </row>
    <row r="10" spans="1:12" ht="24" customHeight="1" x14ac:dyDescent="0.25">
      <c r="A10" s="34">
        <f t="shared" ref="A10:A31" si="0">1+A9</f>
        <v>3</v>
      </c>
      <c r="B10" s="155"/>
      <c r="C10" s="616" t="s">
        <v>225</v>
      </c>
      <c r="D10" s="617"/>
      <c r="E10" s="616" t="s">
        <v>225</v>
      </c>
      <c r="F10" s="617"/>
      <c r="G10" s="646"/>
      <c r="H10" s="647"/>
      <c r="I10" s="648"/>
    </row>
    <row r="11" spans="1:12" ht="24" customHeight="1" x14ac:dyDescent="0.25">
      <c r="A11" s="34">
        <f t="shared" si="0"/>
        <v>4</v>
      </c>
      <c r="B11" s="155"/>
      <c r="C11" s="616" t="s">
        <v>225</v>
      </c>
      <c r="D11" s="617"/>
      <c r="E11" s="616" t="s">
        <v>225</v>
      </c>
      <c r="F11" s="617"/>
      <c r="G11" s="646"/>
      <c r="H11" s="647"/>
      <c r="I11" s="648"/>
    </row>
    <row r="12" spans="1:12" ht="24" customHeight="1" x14ac:dyDescent="0.25">
      <c r="A12" s="34">
        <f t="shared" si="0"/>
        <v>5</v>
      </c>
      <c r="B12" s="155"/>
      <c r="C12" s="616" t="s">
        <v>225</v>
      </c>
      <c r="D12" s="617"/>
      <c r="E12" s="616" t="s">
        <v>225</v>
      </c>
      <c r="F12" s="617"/>
      <c r="G12" s="646"/>
      <c r="H12" s="647"/>
      <c r="I12" s="648"/>
    </row>
    <row r="13" spans="1:12" ht="24" customHeight="1" x14ac:dyDescent="0.25">
      <c r="A13" s="34">
        <f t="shared" si="0"/>
        <v>6</v>
      </c>
      <c r="B13" s="155"/>
      <c r="C13" s="616" t="s">
        <v>225</v>
      </c>
      <c r="D13" s="617"/>
      <c r="E13" s="616" t="s">
        <v>225</v>
      </c>
      <c r="F13" s="617"/>
      <c r="G13" s="646"/>
      <c r="H13" s="647"/>
      <c r="I13" s="648"/>
    </row>
    <row r="14" spans="1:12" ht="24" customHeight="1" x14ac:dyDescent="0.25">
      <c r="A14" s="34">
        <f t="shared" si="0"/>
        <v>7</v>
      </c>
      <c r="B14" s="155"/>
      <c r="C14" s="616" t="s">
        <v>225</v>
      </c>
      <c r="D14" s="617"/>
      <c r="E14" s="616" t="s">
        <v>225</v>
      </c>
      <c r="F14" s="617"/>
      <c r="G14" s="646"/>
      <c r="H14" s="647"/>
      <c r="I14" s="648"/>
    </row>
    <row r="15" spans="1:12" ht="24" customHeight="1" x14ac:dyDescent="0.25">
      <c r="A15" s="34">
        <f t="shared" si="0"/>
        <v>8</v>
      </c>
      <c r="B15" s="155"/>
      <c r="C15" s="616" t="s">
        <v>225</v>
      </c>
      <c r="D15" s="617"/>
      <c r="E15" s="616" t="s">
        <v>225</v>
      </c>
      <c r="F15" s="617"/>
      <c r="G15" s="646"/>
      <c r="H15" s="647"/>
      <c r="I15" s="648"/>
    </row>
    <row r="16" spans="1:12" ht="24" customHeight="1" x14ac:dyDescent="0.25">
      <c r="A16" s="34">
        <f t="shared" si="0"/>
        <v>9</v>
      </c>
      <c r="B16" s="155"/>
      <c r="C16" s="616" t="s">
        <v>225</v>
      </c>
      <c r="D16" s="617"/>
      <c r="E16" s="616" t="s">
        <v>225</v>
      </c>
      <c r="F16" s="617"/>
      <c r="G16" s="646"/>
      <c r="H16" s="647"/>
      <c r="I16" s="648"/>
    </row>
    <row r="17" spans="1:12" ht="24" customHeight="1" x14ac:dyDescent="0.25">
      <c r="A17" s="34">
        <f t="shared" si="0"/>
        <v>10</v>
      </c>
      <c r="B17" s="155"/>
      <c r="C17" s="616" t="s">
        <v>225</v>
      </c>
      <c r="D17" s="617"/>
      <c r="E17" s="616" t="s">
        <v>225</v>
      </c>
      <c r="F17" s="617"/>
      <c r="G17" s="646"/>
      <c r="H17" s="647"/>
      <c r="I17" s="648"/>
    </row>
    <row r="18" spans="1:12" ht="24" customHeight="1" x14ac:dyDescent="0.25">
      <c r="A18" s="34">
        <f t="shared" si="0"/>
        <v>11</v>
      </c>
      <c r="B18" s="155"/>
      <c r="C18" s="616" t="s">
        <v>225</v>
      </c>
      <c r="D18" s="617"/>
      <c r="E18" s="616" t="s">
        <v>225</v>
      </c>
      <c r="F18" s="617"/>
      <c r="G18" s="646"/>
      <c r="H18" s="647"/>
      <c r="I18" s="648"/>
    </row>
    <row r="19" spans="1:12" ht="24" customHeight="1" x14ac:dyDescent="0.25">
      <c r="A19" s="34">
        <f t="shared" si="0"/>
        <v>12</v>
      </c>
      <c r="B19" s="155"/>
      <c r="C19" s="616" t="s">
        <v>225</v>
      </c>
      <c r="D19" s="617"/>
      <c r="E19" s="616" t="s">
        <v>225</v>
      </c>
      <c r="F19" s="617"/>
      <c r="G19" s="646"/>
      <c r="H19" s="647"/>
      <c r="I19" s="648"/>
    </row>
    <row r="20" spans="1:12" ht="24" customHeight="1" x14ac:dyDescent="0.25">
      <c r="A20" s="34">
        <f t="shared" si="0"/>
        <v>13</v>
      </c>
      <c r="B20" s="155"/>
      <c r="C20" s="616" t="s">
        <v>225</v>
      </c>
      <c r="D20" s="617"/>
      <c r="E20" s="616" t="s">
        <v>225</v>
      </c>
      <c r="F20" s="617"/>
      <c r="G20" s="646"/>
      <c r="H20" s="647"/>
      <c r="I20" s="648"/>
    </row>
    <row r="21" spans="1:12" ht="24" customHeight="1" x14ac:dyDescent="0.25">
      <c r="A21" s="34">
        <f t="shared" si="0"/>
        <v>14</v>
      </c>
      <c r="B21" s="155"/>
      <c r="C21" s="616" t="s">
        <v>225</v>
      </c>
      <c r="D21" s="617"/>
      <c r="E21" s="616" t="s">
        <v>225</v>
      </c>
      <c r="F21" s="617"/>
      <c r="G21" s="646"/>
      <c r="H21" s="647"/>
      <c r="I21" s="648"/>
    </row>
    <row r="22" spans="1:12" ht="24" customHeight="1" x14ac:dyDescent="0.25">
      <c r="A22" s="34">
        <f t="shared" si="0"/>
        <v>15</v>
      </c>
      <c r="B22" s="155"/>
      <c r="C22" s="616" t="s">
        <v>225</v>
      </c>
      <c r="D22" s="617"/>
      <c r="E22" s="616" t="s">
        <v>225</v>
      </c>
      <c r="F22" s="617"/>
      <c r="G22" s="646"/>
      <c r="H22" s="647"/>
      <c r="I22" s="648"/>
    </row>
    <row r="23" spans="1:12" ht="24" customHeight="1" x14ac:dyDescent="0.25">
      <c r="A23" s="34">
        <f t="shared" si="0"/>
        <v>16</v>
      </c>
      <c r="B23" s="155"/>
      <c r="C23" s="616" t="s">
        <v>225</v>
      </c>
      <c r="D23" s="617"/>
      <c r="E23" s="616" t="s">
        <v>225</v>
      </c>
      <c r="F23" s="617"/>
      <c r="G23" s="646"/>
      <c r="H23" s="647"/>
      <c r="I23" s="648"/>
    </row>
    <row r="24" spans="1:12" ht="24" customHeight="1" x14ac:dyDescent="0.25">
      <c r="A24" s="34">
        <f t="shared" si="0"/>
        <v>17</v>
      </c>
      <c r="B24" s="155"/>
      <c r="C24" s="616" t="s">
        <v>225</v>
      </c>
      <c r="D24" s="617"/>
      <c r="E24" s="616" t="s">
        <v>225</v>
      </c>
      <c r="F24" s="617"/>
      <c r="G24" s="646"/>
      <c r="H24" s="647"/>
      <c r="I24" s="648"/>
    </row>
    <row r="25" spans="1:12" ht="24" customHeight="1" x14ac:dyDescent="0.25">
      <c r="A25" s="34">
        <f t="shared" si="0"/>
        <v>18</v>
      </c>
      <c r="B25" s="155"/>
      <c r="C25" s="616" t="s">
        <v>225</v>
      </c>
      <c r="D25" s="617"/>
      <c r="E25" s="616" t="s">
        <v>225</v>
      </c>
      <c r="F25" s="617"/>
      <c r="G25" s="646"/>
      <c r="H25" s="647"/>
      <c r="I25" s="648"/>
    </row>
    <row r="26" spans="1:12" ht="24" customHeight="1" x14ac:dyDescent="0.25">
      <c r="A26" s="34">
        <f t="shared" si="0"/>
        <v>19</v>
      </c>
      <c r="B26" s="155"/>
      <c r="C26" s="616" t="s">
        <v>225</v>
      </c>
      <c r="D26" s="617"/>
      <c r="E26" s="616" t="s">
        <v>225</v>
      </c>
      <c r="F26" s="617"/>
      <c r="G26" s="646"/>
      <c r="H26" s="647"/>
      <c r="I26" s="648"/>
    </row>
    <row r="27" spans="1:12" ht="24" customHeight="1" x14ac:dyDescent="0.25">
      <c r="A27" s="34">
        <f t="shared" si="0"/>
        <v>20</v>
      </c>
      <c r="B27" s="155"/>
      <c r="C27" s="616" t="s">
        <v>225</v>
      </c>
      <c r="D27" s="617"/>
      <c r="E27" s="616" t="s">
        <v>225</v>
      </c>
      <c r="F27" s="617"/>
      <c r="G27" s="646"/>
      <c r="H27" s="647"/>
      <c r="I27" s="648"/>
    </row>
    <row r="28" spans="1:12" ht="24" customHeight="1" x14ac:dyDescent="0.25">
      <c r="A28" s="34">
        <f t="shared" si="0"/>
        <v>21</v>
      </c>
      <c r="B28" s="155"/>
      <c r="C28" s="616" t="s">
        <v>225</v>
      </c>
      <c r="D28" s="617"/>
      <c r="E28" s="616" t="s">
        <v>225</v>
      </c>
      <c r="F28" s="617"/>
      <c r="G28" s="646"/>
      <c r="H28" s="647"/>
      <c r="I28" s="648"/>
    </row>
    <row r="29" spans="1:12" ht="24" customHeight="1" x14ac:dyDescent="0.25">
      <c r="A29" s="34">
        <f t="shared" si="0"/>
        <v>22</v>
      </c>
      <c r="B29" s="155"/>
      <c r="C29" s="616" t="s">
        <v>225</v>
      </c>
      <c r="D29" s="617"/>
      <c r="E29" s="616" t="s">
        <v>225</v>
      </c>
      <c r="F29" s="617"/>
      <c r="G29" s="646"/>
      <c r="H29" s="647"/>
      <c r="I29" s="648"/>
    </row>
    <row r="30" spans="1:12" ht="24" customHeight="1" x14ac:dyDescent="0.25">
      <c r="A30" s="34">
        <f t="shared" si="0"/>
        <v>23</v>
      </c>
      <c r="B30" s="155"/>
      <c r="C30" s="616" t="s">
        <v>225</v>
      </c>
      <c r="D30" s="617"/>
      <c r="E30" s="616" t="s">
        <v>225</v>
      </c>
      <c r="F30" s="617"/>
      <c r="G30" s="646"/>
      <c r="H30" s="647"/>
      <c r="I30" s="648"/>
    </row>
    <row r="31" spans="1:12" ht="24" customHeight="1" thickBot="1" x14ac:dyDescent="0.3">
      <c r="A31" s="26">
        <f t="shared" si="0"/>
        <v>24</v>
      </c>
      <c r="B31" s="156"/>
      <c r="C31" s="620" t="s">
        <v>225</v>
      </c>
      <c r="D31" s="621"/>
      <c r="E31" s="620" t="s">
        <v>225</v>
      </c>
      <c r="F31" s="621"/>
      <c r="G31" s="651"/>
      <c r="H31" s="652"/>
      <c r="I31" s="653"/>
      <c r="K31" s="49"/>
      <c r="L31" s="49"/>
    </row>
    <row r="32" spans="1:12" s="49" customFormat="1" ht="3" customHeight="1" thickBot="1" x14ac:dyDescent="0.3">
      <c r="A32" s="32"/>
      <c r="B32" s="32"/>
      <c r="C32" s="32"/>
      <c r="D32" s="32"/>
      <c r="E32" s="32"/>
      <c r="F32" s="32"/>
      <c r="G32" s="32"/>
      <c r="H32" s="115"/>
      <c r="I32" s="28"/>
    </row>
    <row r="33" spans="1:12" ht="21" customHeight="1" x14ac:dyDescent="0.25">
      <c r="A33" s="31"/>
      <c r="B33" s="163"/>
      <c r="C33" s="587" t="str">
        <f>НазваниеКраткое</f>
        <v>Западные ворота - 2017</v>
      </c>
      <c r="D33" s="582"/>
      <c r="E33" s="582"/>
      <c r="F33" s="588"/>
      <c r="G33" s="590" t="str">
        <f ca="1">INDIRECT(ADDRESS(L35,1,,,"Общее"))</f>
        <v>ДС-3 РУ Старт</v>
      </c>
      <c r="H33" s="591"/>
      <c r="I33" s="592"/>
    </row>
    <row r="34" spans="1:12" ht="21" customHeight="1" thickBot="1" x14ac:dyDescent="0.3">
      <c r="A34" s="31"/>
      <c r="B34" s="164"/>
      <c r="C34" s="583" t="s">
        <v>11</v>
      </c>
      <c r="D34" s="583"/>
      <c r="E34" s="583"/>
      <c r="F34" s="589"/>
      <c r="G34" s="593" t="s">
        <v>187</v>
      </c>
      <c r="H34" s="594"/>
      <c r="I34" s="595"/>
    </row>
    <row r="35" spans="1:12" ht="21" customHeight="1" x14ac:dyDescent="0.25">
      <c r="A35" s="106" t="s">
        <v>12</v>
      </c>
      <c r="B35" s="597" t="str">
        <f ca="1">INDIRECT(ADDRESS(L35,14,,,"Общее"))</f>
        <v>Борисов</v>
      </c>
      <c r="C35" s="598"/>
      <c r="D35" s="107" t="s">
        <v>184</v>
      </c>
      <c r="E35" s="112" t="s">
        <v>181</v>
      </c>
      <c r="F35" s="110">
        <f ca="1">INDIRECT(ADDRESS(L35,11,,,"Общее"))</f>
        <v>0.50264883065851995</v>
      </c>
      <c r="G35" s="112" t="s">
        <v>180</v>
      </c>
      <c r="H35" s="602" t="s">
        <v>225</v>
      </c>
      <c r="I35" s="603"/>
      <c r="K35" s="17" t="s">
        <v>207</v>
      </c>
      <c r="L35" s="17">
        <v>20</v>
      </c>
    </row>
    <row r="36" spans="1:12" ht="21" customHeight="1" thickBot="1" x14ac:dyDescent="0.3">
      <c r="A36" s="108" t="s">
        <v>183</v>
      </c>
      <c r="B36" s="161"/>
      <c r="C36" s="114"/>
      <c r="D36" s="109" t="s">
        <v>185</v>
      </c>
      <c r="E36" s="113" t="s">
        <v>181</v>
      </c>
      <c r="F36" s="111">
        <f ca="1">INDIRECT(ADDRESS(L35,13,,,"Общее"))</f>
        <v>0.55820438621407542</v>
      </c>
      <c r="G36" s="113" t="s">
        <v>180</v>
      </c>
      <c r="H36" s="604" t="s">
        <v>225</v>
      </c>
      <c r="I36" s="605"/>
    </row>
    <row r="37" spans="1:12" ht="50.1" customHeight="1" thickBot="1" x14ac:dyDescent="0.3">
      <c r="A37" s="628" t="s">
        <v>261</v>
      </c>
      <c r="B37" s="628"/>
      <c r="C37" s="628"/>
      <c r="D37" s="628"/>
      <c r="E37" s="628"/>
      <c r="F37" s="628"/>
      <c r="G37" s="628"/>
      <c r="H37" s="628"/>
      <c r="I37" s="628"/>
    </row>
    <row r="38" spans="1:12" ht="21" customHeight="1" x14ac:dyDescent="0.25">
      <c r="A38" s="629"/>
      <c r="B38" s="631" t="s">
        <v>0</v>
      </c>
      <c r="C38" s="633" t="s">
        <v>70</v>
      </c>
      <c r="D38" s="634"/>
      <c r="E38" s="633" t="s">
        <v>40</v>
      </c>
      <c r="F38" s="634"/>
      <c r="G38" s="637" t="s">
        <v>90</v>
      </c>
      <c r="H38" s="638"/>
      <c r="I38" s="639"/>
    </row>
    <row r="39" spans="1:12" ht="21" customHeight="1" x14ac:dyDescent="0.25">
      <c r="A39" s="630"/>
      <c r="B39" s="632"/>
      <c r="C39" s="635" t="s">
        <v>226</v>
      </c>
      <c r="D39" s="636"/>
      <c r="E39" s="635" t="s">
        <v>226</v>
      </c>
      <c r="F39" s="636"/>
      <c r="G39" s="640"/>
      <c r="H39" s="641"/>
      <c r="I39" s="642"/>
    </row>
    <row r="40" spans="1:12" ht="24" customHeight="1" x14ac:dyDescent="0.25">
      <c r="A40" s="40">
        <v>1</v>
      </c>
      <c r="B40" s="381"/>
      <c r="C40" s="618" t="s">
        <v>225</v>
      </c>
      <c r="D40" s="619"/>
      <c r="E40" s="618" t="s">
        <v>225</v>
      </c>
      <c r="F40" s="619"/>
      <c r="G40" s="656"/>
      <c r="H40" s="657"/>
      <c r="I40" s="658"/>
    </row>
    <row r="41" spans="1:12" ht="24" customHeight="1" x14ac:dyDescent="0.25">
      <c r="A41" s="34">
        <f>1+A40</f>
        <v>2</v>
      </c>
      <c r="B41" s="155"/>
      <c r="C41" s="616" t="s">
        <v>225</v>
      </c>
      <c r="D41" s="617"/>
      <c r="E41" s="616" t="s">
        <v>225</v>
      </c>
      <c r="F41" s="617"/>
      <c r="G41" s="646"/>
      <c r="H41" s="647"/>
      <c r="I41" s="648"/>
    </row>
    <row r="42" spans="1:12" ht="24" customHeight="1" x14ac:dyDescent="0.25">
      <c r="A42" s="34">
        <f t="shared" ref="A42:A63" si="1">1+A41</f>
        <v>3</v>
      </c>
      <c r="B42" s="155"/>
      <c r="C42" s="616" t="s">
        <v>225</v>
      </c>
      <c r="D42" s="617"/>
      <c r="E42" s="616" t="s">
        <v>225</v>
      </c>
      <c r="F42" s="617"/>
      <c r="G42" s="646"/>
      <c r="H42" s="647"/>
      <c r="I42" s="648"/>
    </row>
    <row r="43" spans="1:12" ht="24" customHeight="1" x14ac:dyDescent="0.25">
      <c r="A43" s="34">
        <f t="shared" si="1"/>
        <v>4</v>
      </c>
      <c r="B43" s="155"/>
      <c r="C43" s="616" t="s">
        <v>225</v>
      </c>
      <c r="D43" s="617"/>
      <c r="E43" s="616" t="s">
        <v>225</v>
      </c>
      <c r="F43" s="617"/>
      <c r="G43" s="646"/>
      <c r="H43" s="647"/>
      <c r="I43" s="648"/>
    </row>
    <row r="44" spans="1:12" ht="24" customHeight="1" x14ac:dyDescent="0.25">
      <c r="A44" s="34">
        <f t="shared" si="1"/>
        <v>5</v>
      </c>
      <c r="B44" s="155"/>
      <c r="C44" s="616" t="s">
        <v>225</v>
      </c>
      <c r="D44" s="617"/>
      <c r="E44" s="616" t="s">
        <v>225</v>
      </c>
      <c r="F44" s="617"/>
      <c r="G44" s="646"/>
      <c r="H44" s="647"/>
      <c r="I44" s="648"/>
    </row>
    <row r="45" spans="1:12" ht="24" customHeight="1" x14ac:dyDescent="0.25">
      <c r="A45" s="34">
        <f t="shared" si="1"/>
        <v>6</v>
      </c>
      <c r="B45" s="155"/>
      <c r="C45" s="616" t="s">
        <v>225</v>
      </c>
      <c r="D45" s="617"/>
      <c r="E45" s="616" t="s">
        <v>225</v>
      </c>
      <c r="F45" s="617"/>
      <c r="G45" s="646"/>
      <c r="H45" s="647"/>
      <c r="I45" s="648"/>
    </row>
    <row r="46" spans="1:12" ht="24" customHeight="1" x14ac:dyDescent="0.25">
      <c r="A46" s="34">
        <f t="shared" si="1"/>
        <v>7</v>
      </c>
      <c r="B46" s="155"/>
      <c r="C46" s="616" t="s">
        <v>225</v>
      </c>
      <c r="D46" s="617"/>
      <c r="E46" s="616" t="s">
        <v>225</v>
      </c>
      <c r="F46" s="617"/>
      <c r="G46" s="646"/>
      <c r="H46" s="647"/>
      <c r="I46" s="648"/>
    </row>
    <row r="47" spans="1:12" ht="24" customHeight="1" x14ac:dyDescent="0.25">
      <c r="A47" s="34">
        <f t="shared" si="1"/>
        <v>8</v>
      </c>
      <c r="B47" s="155"/>
      <c r="C47" s="616" t="s">
        <v>225</v>
      </c>
      <c r="D47" s="617"/>
      <c r="E47" s="616" t="s">
        <v>225</v>
      </c>
      <c r="F47" s="617"/>
      <c r="G47" s="646"/>
      <c r="H47" s="647"/>
      <c r="I47" s="648"/>
    </row>
    <row r="48" spans="1:12" ht="24" customHeight="1" x14ac:dyDescent="0.25">
      <c r="A48" s="34">
        <f t="shared" si="1"/>
        <v>9</v>
      </c>
      <c r="B48" s="155"/>
      <c r="C48" s="616" t="s">
        <v>225</v>
      </c>
      <c r="D48" s="617"/>
      <c r="E48" s="616" t="s">
        <v>225</v>
      </c>
      <c r="F48" s="617"/>
      <c r="G48" s="646"/>
      <c r="H48" s="647"/>
      <c r="I48" s="648"/>
    </row>
    <row r="49" spans="1:12" ht="24" customHeight="1" x14ac:dyDescent="0.25">
      <c r="A49" s="34">
        <f t="shared" si="1"/>
        <v>10</v>
      </c>
      <c r="B49" s="155"/>
      <c r="C49" s="616" t="s">
        <v>225</v>
      </c>
      <c r="D49" s="617"/>
      <c r="E49" s="616" t="s">
        <v>225</v>
      </c>
      <c r="F49" s="617"/>
      <c r="G49" s="646"/>
      <c r="H49" s="647"/>
      <c r="I49" s="648"/>
    </row>
    <row r="50" spans="1:12" ht="24" customHeight="1" x14ac:dyDescent="0.25">
      <c r="A50" s="34">
        <f t="shared" si="1"/>
        <v>11</v>
      </c>
      <c r="B50" s="155"/>
      <c r="C50" s="616" t="s">
        <v>225</v>
      </c>
      <c r="D50" s="617"/>
      <c r="E50" s="616" t="s">
        <v>225</v>
      </c>
      <c r="F50" s="617"/>
      <c r="G50" s="646"/>
      <c r="H50" s="647"/>
      <c r="I50" s="648"/>
    </row>
    <row r="51" spans="1:12" ht="24" customHeight="1" x14ac:dyDescent="0.25">
      <c r="A51" s="34">
        <f t="shared" si="1"/>
        <v>12</v>
      </c>
      <c r="B51" s="155"/>
      <c r="C51" s="616" t="s">
        <v>225</v>
      </c>
      <c r="D51" s="617"/>
      <c r="E51" s="616" t="s">
        <v>225</v>
      </c>
      <c r="F51" s="617"/>
      <c r="G51" s="646"/>
      <c r="H51" s="647"/>
      <c r="I51" s="648"/>
    </row>
    <row r="52" spans="1:12" ht="24" customHeight="1" x14ac:dyDescent="0.25">
      <c r="A52" s="34">
        <f t="shared" si="1"/>
        <v>13</v>
      </c>
      <c r="B52" s="155"/>
      <c r="C52" s="616" t="s">
        <v>225</v>
      </c>
      <c r="D52" s="617"/>
      <c r="E52" s="616" t="s">
        <v>225</v>
      </c>
      <c r="F52" s="617"/>
      <c r="G52" s="646"/>
      <c r="H52" s="647"/>
      <c r="I52" s="648"/>
    </row>
    <row r="53" spans="1:12" ht="24" customHeight="1" x14ac:dyDescent="0.25">
      <c r="A53" s="34">
        <f t="shared" si="1"/>
        <v>14</v>
      </c>
      <c r="B53" s="155"/>
      <c r="C53" s="616" t="s">
        <v>225</v>
      </c>
      <c r="D53" s="617"/>
      <c r="E53" s="616" t="s">
        <v>225</v>
      </c>
      <c r="F53" s="617"/>
      <c r="G53" s="646"/>
      <c r="H53" s="647"/>
      <c r="I53" s="648"/>
    </row>
    <row r="54" spans="1:12" ht="24" customHeight="1" x14ac:dyDescent="0.25">
      <c r="A54" s="34">
        <f t="shared" si="1"/>
        <v>15</v>
      </c>
      <c r="B54" s="155"/>
      <c r="C54" s="616" t="s">
        <v>225</v>
      </c>
      <c r="D54" s="617"/>
      <c r="E54" s="616" t="s">
        <v>225</v>
      </c>
      <c r="F54" s="617"/>
      <c r="G54" s="646"/>
      <c r="H54" s="647"/>
      <c r="I54" s="648"/>
    </row>
    <row r="55" spans="1:12" ht="24" customHeight="1" x14ac:dyDescent="0.25">
      <c r="A55" s="34">
        <f t="shared" si="1"/>
        <v>16</v>
      </c>
      <c r="B55" s="155"/>
      <c r="C55" s="616" t="s">
        <v>225</v>
      </c>
      <c r="D55" s="617"/>
      <c r="E55" s="616" t="s">
        <v>225</v>
      </c>
      <c r="F55" s="617"/>
      <c r="G55" s="646"/>
      <c r="H55" s="647"/>
      <c r="I55" s="648"/>
    </row>
    <row r="56" spans="1:12" ht="24" customHeight="1" x14ac:dyDescent="0.25">
      <c r="A56" s="34">
        <f t="shared" si="1"/>
        <v>17</v>
      </c>
      <c r="B56" s="155"/>
      <c r="C56" s="616" t="s">
        <v>225</v>
      </c>
      <c r="D56" s="617"/>
      <c r="E56" s="616" t="s">
        <v>225</v>
      </c>
      <c r="F56" s="617"/>
      <c r="G56" s="646"/>
      <c r="H56" s="647"/>
      <c r="I56" s="648"/>
    </row>
    <row r="57" spans="1:12" ht="24" customHeight="1" x14ac:dyDescent="0.25">
      <c r="A57" s="34">
        <f t="shared" si="1"/>
        <v>18</v>
      </c>
      <c r="B57" s="155"/>
      <c r="C57" s="616" t="s">
        <v>225</v>
      </c>
      <c r="D57" s="617"/>
      <c r="E57" s="616" t="s">
        <v>225</v>
      </c>
      <c r="F57" s="617"/>
      <c r="G57" s="646"/>
      <c r="H57" s="647"/>
      <c r="I57" s="648"/>
    </row>
    <row r="58" spans="1:12" ht="24" customHeight="1" x14ac:dyDescent="0.25">
      <c r="A58" s="34">
        <f t="shared" si="1"/>
        <v>19</v>
      </c>
      <c r="B58" s="155"/>
      <c r="C58" s="616" t="s">
        <v>225</v>
      </c>
      <c r="D58" s="617"/>
      <c r="E58" s="616" t="s">
        <v>225</v>
      </c>
      <c r="F58" s="617"/>
      <c r="G58" s="646"/>
      <c r="H58" s="647"/>
      <c r="I58" s="648"/>
    </row>
    <row r="59" spans="1:12" ht="24" customHeight="1" x14ac:dyDescent="0.25">
      <c r="A59" s="34">
        <f t="shared" si="1"/>
        <v>20</v>
      </c>
      <c r="B59" s="155"/>
      <c r="C59" s="616" t="s">
        <v>225</v>
      </c>
      <c r="D59" s="617"/>
      <c r="E59" s="616" t="s">
        <v>225</v>
      </c>
      <c r="F59" s="617"/>
      <c r="G59" s="646"/>
      <c r="H59" s="647"/>
      <c r="I59" s="648"/>
    </row>
    <row r="60" spans="1:12" ht="24" customHeight="1" x14ac:dyDescent="0.25">
      <c r="A60" s="34">
        <f t="shared" si="1"/>
        <v>21</v>
      </c>
      <c r="B60" s="155"/>
      <c r="C60" s="616" t="s">
        <v>225</v>
      </c>
      <c r="D60" s="617"/>
      <c r="E60" s="616" t="s">
        <v>225</v>
      </c>
      <c r="F60" s="617"/>
      <c r="G60" s="646"/>
      <c r="H60" s="647"/>
      <c r="I60" s="648"/>
    </row>
    <row r="61" spans="1:12" ht="24" customHeight="1" x14ac:dyDescent="0.25">
      <c r="A61" s="34">
        <f t="shared" si="1"/>
        <v>22</v>
      </c>
      <c r="B61" s="155"/>
      <c r="C61" s="616" t="s">
        <v>225</v>
      </c>
      <c r="D61" s="617"/>
      <c r="E61" s="616" t="s">
        <v>225</v>
      </c>
      <c r="F61" s="617"/>
      <c r="G61" s="646"/>
      <c r="H61" s="647"/>
      <c r="I61" s="648"/>
    </row>
    <row r="62" spans="1:12" ht="24" customHeight="1" x14ac:dyDescent="0.25">
      <c r="A62" s="34">
        <f t="shared" si="1"/>
        <v>23</v>
      </c>
      <c r="B62" s="155"/>
      <c r="C62" s="616" t="s">
        <v>225</v>
      </c>
      <c r="D62" s="617"/>
      <c r="E62" s="616" t="s">
        <v>225</v>
      </c>
      <c r="F62" s="617"/>
      <c r="G62" s="646"/>
      <c r="H62" s="647"/>
      <c r="I62" s="648"/>
    </row>
    <row r="63" spans="1:12" ht="24" customHeight="1" thickBot="1" x14ac:dyDescent="0.3">
      <c r="A63" s="26">
        <f t="shared" si="1"/>
        <v>24</v>
      </c>
      <c r="B63" s="156"/>
      <c r="C63" s="620" t="s">
        <v>225</v>
      </c>
      <c r="D63" s="621"/>
      <c r="E63" s="620" t="s">
        <v>225</v>
      </c>
      <c r="F63" s="621"/>
      <c r="G63" s="651"/>
      <c r="H63" s="652"/>
      <c r="I63" s="653"/>
      <c r="K63" s="49"/>
      <c r="L63" s="49"/>
    </row>
    <row r="64" spans="1:12" s="49" customFormat="1" ht="3" customHeight="1" thickBot="1" x14ac:dyDescent="0.3">
      <c r="A64" s="32"/>
      <c r="B64" s="32"/>
      <c r="C64" s="32"/>
      <c r="D64" s="32"/>
      <c r="E64" s="32"/>
      <c r="F64" s="32"/>
      <c r="G64" s="32"/>
      <c r="H64" s="115"/>
      <c r="I64" s="28"/>
    </row>
    <row r="65" spans="1:12" ht="21" customHeight="1" x14ac:dyDescent="0.25">
      <c r="A65" s="31"/>
      <c r="B65" s="163"/>
      <c r="C65" s="587" t="str">
        <f>НазваниеКраткое</f>
        <v>Западные ворота - 2017</v>
      </c>
      <c r="D65" s="582"/>
      <c r="E65" s="582"/>
      <c r="F65" s="588"/>
      <c r="G65" s="590" t="str">
        <f ca="1">INDIRECT(ADDRESS(L67,1,,,"Общее"))</f>
        <v>ДС-4 РД Старт</v>
      </c>
      <c r="H65" s="591"/>
      <c r="I65" s="592"/>
    </row>
    <row r="66" spans="1:12" ht="21" customHeight="1" thickBot="1" x14ac:dyDescent="0.3">
      <c r="A66" s="31"/>
      <c r="B66" s="164"/>
      <c r="C66" s="583" t="s">
        <v>11</v>
      </c>
      <c r="D66" s="583"/>
      <c r="E66" s="583"/>
      <c r="F66" s="589"/>
      <c r="G66" s="593" t="s">
        <v>187</v>
      </c>
      <c r="H66" s="594"/>
      <c r="I66" s="595"/>
    </row>
    <row r="67" spans="1:12" ht="21" customHeight="1" x14ac:dyDescent="0.25">
      <c r="A67" s="106" t="s">
        <v>12</v>
      </c>
      <c r="B67" s="597" t="str">
        <f ca="1">INDIRECT(ADDRESS(L67,14,,,"Общее"))</f>
        <v>Курилин</v>
      </c>
      <c r="C67" s="598"/>
      <c r="D67" s="107" t="s">
        <v>184</v>
      </c>
      <c r="E67" s="112" t="s">
        <v>181</v>
      </c>
      <c r="F67" s="110">
        <f ca="1">INDIRECT(ADDRESS(L67,11,,,"Общее"))</f>
        <v>0.54329178123578215</v>
      </c>
      <c r="G67" s="112" t="s">
        <v>180</v>
      </c>
      <c r="H67" s="602" t="s">
        <v>225</v>
      </c>
      <c r="I67" s="603"/>
      <c r="K67" s="17" t="s">
        <v>207</v>
      </c>
      <c r="L67" s="17">
        <v>22</v>
      </c>
    </row>
    <row r="68" spans="1:12" ht="21" customHeight="1" thickBot="1" x14ac:dyDescent="0.3">
      <c r="A68" s="108" t="s">
        <v>183</v>
      </c>
      <c r="B68" s="161"/>
      <c r="C68" s="114"/>
      <c r="D68" s="109" t="s">
        <v>185</v>
      </c>
      <c r="E68" s="113" t="s">
        <v>181</v>
      </c>
      <c r="F68" s="111">
        <f ca="1">INDIRECT(ADDRESS(L67,13,,,"Общее"))</f>
        <v>0.59884733679133761</v>
      </c>
      <c r="G68" s="113" t="s">
        <v>180</v>
      </c>
      <c r="H68" s="604" t="s">
        <v>225</v>
      </c>
      <c r="I68" s="605"/>
    </row>
    <row r="69" spans="1:12" ht="50.1" customHeight="1" thickBot="1" x14ac:dyDescent="0.3">
      <c r="A69" s="628" t="s">
        <v>261</v>
      </c>
      <c r="B69" s="628"/>
      <c r="C69" s="628"/>
      <c r="D69" s="628"/>
      <c r="E69" s="628"/>
      <c r="F69" s="628"/>
      <c r="G69" s="628"/>
      <c r="H69" s="628"/>
      <c r="I69" s="628"/>
    </row>
    <row r="70" spans="1:12" ht="21" customHeight="1" x14ac:dyDescent="0.25">
      <c r="A70" s="629"/>
      <c r="B70" s="631" t="s">
        <v>0</v>
      </c>
      <c r="C70" s="633" t="s">
        <v>70</v>
      </c>
      <c r="D70" s="634"/>
      <c r="E70" s="633" t="s">
        <v>40</v>
      </c>
      <c r="F70" s="634"/>
      <c r="G70" s="637" t="s">
        <v>90</v>
      </c>
      <c r="H70" s="638"/>
      <c r="I70" s="639"/>
    </row>
    <row r="71" spans="1:12" ht="21" customHeight="1" x14ac:dyDescent="0.25">
      <c r="A71" s="630"/>
      <c r="B71" s="632"/>
      <c r="C71" s="635" t="s">
        <v>226</v>
      </c>
      <c r="D71" s="636"/>
      <c r="E71" s="635" t="s">
        <v>226</v>
      </c>
      <c r="F71" s="636"/>
      <c r="G71" s="640"/>
      <c r="H71" s="641"/>
      <c r="I71" s="642"/>
    </row>
    <row r="72" spans="1:12" ht="24" customHeight="1" x14ac:dyDescent="0.25">
      <c r="A72" s="40">
        <v>1</v>
      </c>
      <c r="B72" s="381"/>
      <c r="C72" s="618" t="s">
        <v>225</v>
      </c>
      <c r="D72" s="619"/>
      <c r="E72" s="618" t="s">
        <v>225</v>
      </c>
      <c r="F72" s="619"/>
      <c r="G72" s="656"/>
      <c r="H72" s="657"/>
      <c r="I72" s="658"/>
    </row>
    <row r="73" spans="1:12" ht="24" customHeight="1" x14ac:dyDescent="0.25">
      <c r="A73" s="34">
        <f>1+A72</f>
        <v>2</v>
      </c>
      <c r="B73" s="155"/>
      <c r="C73" s="616" t="s">
        <v>225</v>
      </c>
      <c r="D73" s="617"/>
      <c r="E73" s="616" t="s">
        <v>225</v>
      </c>
      <c r="F73" s="617"/>
      <c r="G73" s="646"/>
      <c r="H73" s="647"/>
      <c r="I73" s="648"/>
    </row>
    <row r="74" spans="1:12" ht="24" customHeight="1" x14ac:dyDescent="0.25">
      <c r="A74" s="34">
        <f t="shared" ref="A74:A95" si="2">1+A73</f>
        <v>3</v>
      </c>
      <c r="B74" s="155"/>
      <c r="C74" s="616" t="s">
        <v>225</v>
      </c>
      <c r="D74" s="617"/>
      <c r="E74" s="616" t="s">
        <v>225</v>
      </c>
      <c r="F74" s="617"/>
      <c r="G74" s="646"/>
      <c r="H74" s="647"/>
      <c r="I74" s="648"/>
    </row>
    <row r="75" spans="1:12" ht="24" customHeight="1" x14ac:dyDescent="0.25">
      <c r="A75" s="34">
        <f t="shared" si="2"/>
        <v>4</v>
      </c>
      <c r="B75" s="155"/>
      <c r="C75" s="616" t="s">
        <v>225</v>
      </c>
      <c r="D75" s="617"/>
      <c r="E75" s="616" t="s">
        <v>225</v>
      </c>
      <c r="F75" s="617"/>
      <c r="G75" s="646"/>
      <c r="H75" s="647"/>
      <c r="I75" s="648"/>
    </row>
    <row r="76" spans="1:12" ht="24" customHeight="1" x14ac:dyDescent="0.25">
      <c r="A76" s="34">
        <f t="shared" si="2"/>
        <v>5</v>
      </c>
      <c r="B76" s="155"/>
      <c r="C76" s="616" t="s">
        <v>225</v>
      </c>
      <c r="D76" s="617"/>
      <c r="E76" s="616" t="s">
        <v>225</v>
      </c>
      <c r="F76" s="617"/>
      <c r="G76" s="646"/>
      <c r="H76" s="647"/>
      <c r="I76" s="648"/>
    </row>
    <row r="77" spans="1:12" ht="24" customHeight="1" x14ac:dyDescent="0.25">
      <c r="A77" s="34">
        <f t="shared" si="2"/>
        <v>6</v>
      </c>
      <c r="B77" s="155"/>
      <c r="C77" s="616" t="s">
        <v>225</v>
      </c>
      <c r="D77" s="617"/>
      <c r="E77" s="616" t="s">
        <v>225</v>
      </c>
      <c r="F77" s="617"/>
      <c r="G77" s="646"/>
      <c r="H77" s="647"/>
      <c r="I77" s="648"/>
    </row>
    <row r="78" spans="1:12" ht="24" customHeight="1" x14ac:dyDescent="0.25">
      <c r="A78" s="34">
        <f t="shared" si="2"/>
        <v>7</v>
      </c>
      <c r="B78" s="155"/>
      <c r="C78" s="616" t="s">
        <v>225</v>
      </c>
      <c r="D78" s="617"/>
      <c r="E78" s="616" t="s">
        <v>225</v>
      </c>
      <c r="F78" s="617"/>
      <c r="G78" s="646"/>
      <c r="H78" s="647"/>
      <c r="I78" s="648"/>
    </row>
    <row r="79" spans="1:12" ht="24" customHeight="1" x14ac:dyDescent="0.25">
      <c r="A79" s="34">
        <f t="shared" si="2"/>
        <v>8</v>
      </c>
      <c r="B79" s="155"/>
      <c r="C79" s="616" t="s">
        <v>225</v>
      </c>
      <c r="D79" s="617"/>
      <c r="E79" s="616" t="s">
        <v>225</v>
      </c>
      <c r="F79" s="617"/>
      <c r="G79" s="646"/>
      <c r="H79" s="647"/>
      <c r="I79" s="648"/>
    </row>
    <row r="80" spans="1:12" ht="24" customHeight="1" x14ac:dyDescent="0.25">
      <c r="A80" s="34">
        <f t="shared" si="2"/>
        <v>9</v>
      </c>
      <c r="B80" s="155"/>
      <c r="C80" s="616" t="s">
        <v>225</v>
      </c>
      <c r="D80" s="617"/>
      <c r="E80" s="616" t="s">
        <v>225</v>
      </c>
      <c r="F80" s="617"/>
      <c r="G80" s="646"/>
      <c r="H80" s="647"/>
      <c r="I80" s="648"/>
    </row>
    <row r="81" spans="1:12" ht="24" customHeight="1" x14ac:dyDescent="0.25">
      <c r="A81" s="34">
        <f t="shared" si="2"/>
        <v>10</v>
      </c>
      <c r="B81" s="155"/>
      <c r="C81" s="616" t="s">
        <v>225</v>
      </c>
      <c r="D81" s="617"/>
      <c r="E81" s="616" t="s">
        <v>225</v>
      </c>
      <c r="F81" s="617"/>
      <c r="G81" s="646"/>
      <c r="H81" s="647"/>
      <c r="I81" s="648"/>
    </row>
    <row r="82" spans="1:12" ht="24" customHeight="1" x14ac:dyDescent="0.25">
      <c r="A82" s="34">
        <f t="shared" si="2"/>
        <v>11</v>
      </c>
      <c r="B82" s="155"/>
      <c r="C82" s="616" t="s">
        <v>225</v>
      </c>
      <c r="D82" s="617"/>
      <c r="E82" s="616" t="s">
        <v>225</v>
      </c>
      <c r="F82" s="617"/>
      <c r="G82" s="646"/>
      <c r="H82" s="647"/>
      <c r="I82" s="648"/>
    </row>
    <row r="83" spans="1:12" ht="24" customHeight="1" x14ac:dyDescent="0.25">
      <c r="A83" s="34">
        <f t="shared" si="2"/>
        <v>12</v>
      </c>
      <c r="B83" s="155"/>
      <c r="C83" s="616" t="s">
        <v>225</v>
      </c>
      <c r="D83" s="617"/>
      <c r="E83" s="616" t="s">
        <v>225</v>
      </c>
      <c r="F83" s="617"/>
      <c r="G83" s="646"/>
      <c r="H83" s="647"/>
      <c r="I83" s="648"/>
    </row>
    <row r="84" spans="1:12" ht="24" customHeight="1" x14ac:dyDescent="0.25">
      <c r="A84" s="34">
        <f t="shared" si="2"/>
        <v>13</v>
      </c>
      <c r="B84" s="155"/>
      <c r="C84" s="616" t="s">
        <v>225</v>
      </c>
      <c r="D84" s="617"/>
      <c r="E84" s="616" t="s">
        <v>225</v>
      </c>
      <c r="F84" s="617"/>
      <c r="G84" s="646"/>
      <c r="H84" s="647"/>
      <c r="I84" s="648"/>
    </row>
    <row r="85" spans="1:12" ht="24" customHeight="1" x14ac:dyDescent="0.25">
      <c r="A85" s="34">
        <f t="shared" si="2"/>
        <v>14</v>
      </c>
      <c r="B85" s="155"/>
      <c r="C85" s="616" t="s">
        <v>225</v>
      </c>
      <c r="D85" s="617"/>
      <c r="E85" s="616" t="s">
        <v>225</v>
      </c>
      <c r="F85" s="617"/>
      <c r="G85" s="646"/>
      <c r="H85" s="647"/>
      <c r="I85" s="648"/>
    </row>
    <row r="86" spans="1:12" ht="24" customHeight="1" x14ac:dyDescent="0.25">
      <c r="A86" s="34">
        <f t="shared" si="2"/>
        <v>15</v>
      </c>
      <c r="B86" s="155"/>
      <c r="C86" s="616" t="s">
        <v>225</v>
      </c>
      <c r="D86" s="617"/>
      <c r="E86" s="616" t="s">
        <v>225</v>
      </c>
      <c r="F86" s="617"/>
      <c r="G86" s="646"/>
      <c r="H86" s="647"/>
      <c r="I86" s="648"/>
    </row>
    <row r="87" spans="1:12" ht="24" customHeight="1" x14ac:dyDescent="0.25">
      <c r="A87" s="34">
        <f t="shared" si="2"/>
        <v>16</v>
      </c>
      <c r="B87" s="155"/>
      <c r="C87" s="616" t="s">
        <v>225</v>
      </c>
      <c r="D87" s="617"/>
      <c r="E87" s="616" t="s">
        <v>225</v>
      </c>
      <c r="F87" s="617"/>
      <c r="G87" s="646"/>
      <c r="H87" s="647"/>
      <c r="I87" s="648"/>
    </row>
    <row r="88" spans="1:12" ht="24" customHeight="1" x14ac:dyDescent="0.25">
      <c r="A88" s="34">
        <f t="shared" si="2"/>
        <v>17</v>
      </c>
      <c r="B88" s="155"/>
      <c r="C88" s="616" t="s">
        <v>225</v>
      </c>
      <c r="D88" s="617"/>
      <c r="E88" s="616" t="s">
        <v>225</v>
      </c>
      <c r="F88" s="617"/>
      <c r="G88" s="646"/>
      <c r="H88" s="647"/>
      <c r="I88" s="648"/>
    </row>
    <row r="89" spans="1:12" ht="24" customHeight="1" x14ac:dyDescent="0.25">
      <c r="A89" s="34">
        <f t="shared" si="2"/>
        <v>18</v>
      </c>
      <c r="B89" s="155"/>
      <c r="C89" s="616" t="s">
        <v>225</v>
      </c>
      <c r="D89" s="617"/>
      <c r="E89" s="616" t="s">
        <v>225</v>
      </c>
      <c r="F89" s="617"/>
      <c r="G89" s="646"/>
      <c r="H89" s="647"/>
      <c r="I89" s="648"/>
    </row>
    <row r="90" spans="1:12" ht="24" customHeight="1" x14ac:dyDescent="0.25">
      <c r="A90" s="34">
        <f t="shared" si="2"/>
        <v>19</v>
      </c>
      <c r="B90" s="155"/>
      <c r="C90" s="616" t="s">
        <v>225</v>
      </c>
      <c r="D90" s="617"/>
      <c r="E90" s="616" t="s">
        <v>225</v>
      </c>
      <c r="F90" s="617"/>
      <c r="G90" s="646"/>
      <c r="H90" s="647"/>
      <c r="I90" s="648"/>
    </row>
    <row r="91" spans="1:12" ht="24" customHeight="1" x14ac:dyDescent="0.25">
      <c r="A91" s="34">
        <f t="shared" si="2"/>
        <v>20</v>
      </c>
      <c r="B91" s="155"/>
      <c r="C91" s="616" t="s">
        <v>225</v>
      </c>
      <c r="D91" s="617"/>
      <c r="E91" s="616" t="s">
        <v>225</v>
      </c>
      <c r="F91" s="617"/>
      <c r="G91" s="646"/>
      <c r="H91" s="647"/>
      <c r="I91" s="648"/>
    </row>
    <row r="92" spans="1:12" ht="24" customHeight="1" x14ac:dyDescent="0.25">
      <c r="A92" s="34">
        <f t="shared" si="2"/>
        <v>21</v>
      </c>
      <c r="B92" s="155"/>
      <c r="C92" s="616" t="s">
        <v>225</v>
      </c>
      <c r="D92" s="617"/>
      <c r="E92" s="616" t="s">
        <v>225</v>
      </c>
      <c r="F92" s="617"/>
      <c r="G92" s="646"/>
      <c r="H92" s="647"/>
      <c r="I92" s="648"/>
    </row>
    <row r="93" spans="1:12" ht="24" customHeight="1" x14ac:dyDescent="0.25">
      <c r="A93" s="34">
        <f t="shared" si="2"/>
        <v>22</v>
      </c>
      <c r="B93" s="155"/>
      <c r="C93" s="616" t="s">
        <v>225</v>
      </c>
      <c r="D93" s="617"/>
      <c r="E93" s="616" t="s">
        <v>225</v>
      </c>
      <c r="F93" s="617"/>
      <c r="G93" s="646"/>
      <c r="H93" s="647"/>
      <c r="I93" s="648"/>
    </row>
    <row r="94" spans="1:12" ht="24" customHeight="1" x14ac:dyDescent="0.25">
      <c r="A94" s="34">
        <f t="shared" si="2"/>
        <v>23</v>
      </c>
      <c r="B94" s="155"/>
      <c r="C94" s="616" t="s">
        <v>225</v>
      </c>
      <c r="D94" s="617"/>
      <c r="E94" s="616" t="s">
        <v>225</v>
      </c>
      <c r="F94" s="617"/>
      <c r="G94" s="646"/>
      <c r="H94" s="647"/>
      <c r="I94" s="648"/>
    </row>
    <row r="95" spans="1:12" ht="24" customHeight="1" thickBot="1" x14ac:dyDescent="0.3">
      <c r="A95" s="26">
        <f t="shared" si="2"/>
        <v>24</v>
      </c>
      <c r="B95" s="156"/>
      <c r="C95" s="620" t="s">
        <v>225</v>
      </c>
      <c r="D95" s="621"/>
      <c r="E95" s="620" t="s">
        <v>225</v>
      </c>
      <c r="F95" s="621"/>
      <c r="G95" s="651"/>
      <c r="H95" s="652"/>
      <c r="I95" s="653"/>
      <c r="K95" s="49"/>
      <c r="L95" s="49"/>
    </row>
    <row r="96" spans="1:12" s="49" customFormat="1" ht="3" customHeight="1" thickBot="1" x14ac:dyDescent="0.3">
      <c r="A96" s="32"/>
      <c r="B96" s="32"/>
      <c r="C96" s="32"/>
      <c r="D96" s="32"/>
      <c r="E96" s="32"/>
      <c r="F96" s="32"/>
      <c r="G96" s="32"/>
      <c r="H96" s="115"/>
      <c r="I96" s="28"/>
    </row>
    <row r="97" spans="1:12" ht="21" customHeight="1" x14ac:dyDescent="0.25">
      <c r="A97" s="31"/>
      <c r="B97" s="163"/>
      <c r="C97" s="587" t="str">
        <f>НазваниеКраткое</f>
        <v>Западные ворота - 2017</v>
      </c>
      <c r="D97" s="582"/>
      <c r="E97" s="582"/>
      <c r="F97" s="588"/>
      <c r="G97" s="590" t="str">
        <f ca="1">INDIRECT(ADDRESS(L99,1,,,"Общее"))</f>
        <v>ДС-5 РД Старт</v>
      </c>
      <c r="H97" s="591"/>
      <c r="I97" s="592"/>
    </row>
    <row r="98" spans="1:12" ht="21" customHeight="1" thickBot="1" x14ac:dyDescent="0.3">
      <c r="A98" s="31"/>
      <c r="B98" s="164"/>
      <c r="C98" s="583" t="s">
        <v>11</v>
      </c>
      <c r="D98" s="583"/>
      <c r="E98" s="583"/>
      <c r="F98" s="589"/>
      <c r="G98" s="593" t="s">
        <v>187</v>
      </c>
      <c r="H98" s="594"/>
      <c r="I98" s="595"/>
    </row>
    <row r="99" spans="1:12" ht="21" customHeight="1" x14ac:dyDescent="0.25">
      <c r="A99" s="106" t="s">
        <v>12</v>
      </c>
      <c r="B99" s="597" t="str">
        <f ca="1">INDIRECT(ADDRESS(L99,14,,,"Общее"))</f>
        <v>Грушин</v>
      </c>
      <c r="C99" s="598"/>
      <c r="D99" s="107" t="s">
        <v>184</v>
      </c>
      <c r="E99" s="112" t="s">
        <v>181</v>
      </c>
      <c r="F99" s="110">
        <f ca="1">INDIRECT(ADDRESS(L99,11,,,"Общее"))</f>
        <v>0.57707441218613187</v>
      </c>
      <c r="G99" s="112" t="s">
        <v>180</v>
      </c>
      <c r="H99" s="602" t="s">
        <v>225</v>
      </c>
      <c r="I99" s="603"/>
      <c r="K99" s="17" t="s">
        <v>207</v>
      </c>
      <c r="L99" s="17">
        <v>26</v>
      </c>
    </row>
    <row r="100" spans="1:12" ht="21" customHeight="1" thickBot="1" x14ac:dyDescent="0.3">
      <c r="A100" s="108" t="s">
        <v>183</v>
      </c>
      <c r="B100" s="161"/>
      <c r="C100" s="114"/>
      <c r="D100" s="109" t="s">
        <v>185</v>
      </c>
      <c r="E100" s="113" t="s">
        <v>181</v>
      </c>
      <c r="F100" s="111">
        <f ca="1">INDIRECT(ADDRESS(L99,13,,,"Общее"))</f>
        <v>0.63262996774168734</v>
      </c>
      <c r="G100" s="113" t="s">
        <v>180</v>
      </c>
      <c r="H100" s="604" t="s">
        <v>225</v>
      </c>
      <c r="I100" s="605"/>
    </row>
    <row r="101" spans="1:12" ht="50.1" customHeight="1" thickBot="1" x14ac:dyDescent="0.3">
      <c r="A101" s="628" t="s">
        <v>261</v>
      </c>
      <c r="B101" s="628"/>
      <c r="C101" s="628"/>
      <c r="D101" s="628"/>
      <c r="E101" s="628"/>
      <c r="F101" s="628"/>
      <c r="G101" s="628"/>
      <c r="H101" s="628"/>
      <c r="I101" s="628"/>
    </row>
    <row r="102" spans="1:12" ht="21" customHeight="1" x14ac:dyDescent="0.25">
      <c r="A102" s="629"/>
      <c r="B102" s="631" t="s">
        <v>0</v>
      </c>
      <c r="C102" s="633" t="s">
        <v>70</v>
      </c>
      <c r="D102" s="634"/>
      <c r="E102" s="633" t="s">
        <v>40</v>
      </c>
      <c r="F102" s="634"/>
      <c r="G102" s="637" t="s">
        <v>90</v>
      </c>
      <c r="H102" s="638"/>
      <c r="I102" s="639"/>
    </row>
    <row r="103" spans="1:12" ht="21" customHeight="1" x14ac:dyDescent="0.25">
      <c r="A103" s="630"/>
      <c r="B103" s="632"/>
      <c r="C103" s="635" t="s">
        <v>226</v>
      </c>
      <c r="D103" s="636"/>
      <c r="E103" s="635" t="s">
        <v>226</v>
      </c>
      <c r="F103" s="636"/>
      <c r="G103" s="640"/>
      <c r="H103" s="641"/>
      <c r="I103" s="642"/>
    </row>
    <row r="104" spans="1:12" ht="24" customHeight="1" x14ac:dyDescent="0.25">
      <c r="A104" s="40">
        <v>1</v>
      </c>
      <c r="B104" s="381"/>
      <c r="C104" s="654" t="s">
        <v>225</v>
      </c>
      <c r="D104" s="655"/>
      <c r="E104" s="618" t="s">
        <v>225</v>
      </c>
      <c r="F104" s="619"/>
      <c r="G104" s="656"/>
      <c r="H104" s="657"/>
      <c r="I104" s="658"/>
    </row>
    <row r="105" spans="1:12" ht="24" customHeight="1" x14ac:dyDescent="0.25">
      <c r="A105" s="34">
        <f>1+A104</f>
        <v>2</v>
      </c>
      <c r="B105" s="155"/>
      <c r="C105" s="644" t="s">
        <v>225</v>
      </c>
      <c r="D105" s="645"/>
      <c r="E105" s="616" t="s">
        <v>225</v>
      </c>
      <c r="F105" s="617"/>
      <c r="G105" s="646"/>
      <c r="H105" s="647"/>
      <c r="I105" s="648"/>
    </row>
    <row r="106" spans="1:12" ht="24" customHeight="1" x14ac:dyDescent="0.25">
      <c r="A106" s="34">
        <f t="shared" ref="A106:A127" si="3">1+A105</f>
        <v>3</v>
      </c>
      <c r="B106" s="155"/>
      <c r="C106" s="644" t="s">
        <v>225</v>
      </c>
      <c r="D106" s="645"/>
      <c r="E106" s="616" t="s">
        <v>225</v>
      </c>
      <c r="F106" s="617"/>
      <c r="G106" s="646"/>
      <c r="H106" s="647"/>
      <c r="I106" s="648"/>
    </row>
    <row r="107" spans="1:12" ht="24" customHeight="1" x14ac:dyDescent="0.25">
      <c r="A107" s="34">
        <f t="shared" si="3"/>
        <v>4</v>
      </c>
      <c r="B107" s="155"/>
      <c r="C107" s="644" t="s">
        <v>225</v>
      </c>
      <c r="D107" s="645"/>
      <c r="E107" s="616" t="s">
        <v>225</v>
      </c>
      <c r="F107" s="617"/>
      <c r="G107" s="646"/>
      <c r="H107" s="647"/>
      <c r="I107" s="648"/>
    </row>
    <row r="108" spans="1:12" ht="24" customHeight="1" x14ac:dyDescent="0.25">
      <c r="A108" s="34">
        <f t="shared" si="3"/>
        <v>5</v>
      </c>
      <c r="B108" s="155"/>
      <c r="C108" s="644" t="s">
        <v>225</v>
      </c>
      <c r="D108" s="645"/>
      <c r="E108" s="616" t="s">
        <v>225</v>
      </c>
      <c r="F108" s="617"/>
      <c r="G108" s="646"/>
      <c r="H108" s="647"/>
      <c r="I108" s="648"/>
    </row>
    <row r="109" spans="1:12" ht="24" customHeight="1" x14ac:dyDescent="0.25">
      <c r="A109" s="34">
        <f t="shared" si="3"/>
        <v>6</v>
      </c>
      <c r="B109" s="155"/>
      <c r="C109" s="644" t="s">
        <v>225</v>
      </c>
      <c r="D109" s="645"/>
      <c r="E109" s="616" t="s">
        <v>225</v>
      </c>
      <c r="F109" s="617"/>
      <c r="G109" s="646"/>
      <c r="H109" s="647"/>
      <c r="I109" s="648"/>
    </row>
    <row r="110" spans="1:12" ht="24" customHeight="1" x14ac:dyDescent="0.25">
      <c r="A110" s="34">
        <f t="shared" si="3"/>
        <v>7</v>
      </c>
      <c r="B110" s="155"/>
      <c r="C110" s="644" t="s">
        <v>225</v>
      </c>
      <c r="D110" s="645"/>
      <c r="E110" s="616" t="s">
        <v>225</v>
      </c>
      <c r="F110" s="617"/>
      <c r="G110" s="646"/>
      <c r="H110" s="647"/>
      <c r="I110" s="648"/>
    </row>
    <row r="111" spans="1:12" ht="24" customHeight="1" x14ac:dyDescent="0.25">
      <c r="A111" s="34">
        <f t="shared" si="3"/>
        <v>8</v>
      </c>
      <c r="B111" s="155"/>
      <c r="C111" s="644" t="s">
        <v>225</v>
      </c>
      <c r="D111" s="645"/>
      <c r="E111" s="616" t="s">
        <v>225</v>
      </c>
      <c r="F111" s="617"/>
      <c r="G111" s="646"/>
      <c r="H111" s="647"/>
      <c r="I111" s="648"/>
    </row>
    <row r="112" spans="1:12" ht="24" customHeight="1" x14ac:dyDescent="0.25">
      <c r="A112" s="34">
        <f t="shared" si="3"/>
        <v>9</v>
      </c>
      <c r="B112" s="155"/>
      <c r="C112" s="644" t="s">
        <v>225</v>
      </c>
      <c r="D112" s="645"/>
      <c r="E112" s="616" t="s">
        <v>225</v>
      </c>
      <c r="F112" s="617"/>
      <c r="G112" s="646"/>
      <c r="H112" s="647"/>
      <c r="I112" s="648"/>
    </row>
    <row r="113" spans="1:12" ht="24" customHeight="1" x14ac:dyDescent="0.25">
      <c r="A113" s="34">
        <f t="shared" si="3"/>
        <v>10</v>
      </c>
      <c r="B113" s="155"/>
      <c r="C113" s="644" t="s">
        <v>225</v>
      </c>
      <c r="D113" s="645"/>
      <c r="E113" s="616" t="s">
        <v>225</v>
      </c>
      <c r="F113" s="617"/>
      <c r="G113" s="646"/>
      <c r="H113" s="647"/>
      <c r="I113" s="648"/>
    </row>
    <row r="114" spans="1:12" ht="24" customHeight="1" x14ac:dyDescent="0.25">
      <c r="A114" s="34">
        <f t="shared" si="3"/>
        <v>11</v>
      </c>
      <c r="B114" s="155"/>
      <c r="C114" s="644" t="s">
        <v>225</v>
      </c>
      <c r="D114" s="645"/>
      <c r="E114" s="616" t="s">
        <v>225</v>
      </c>
      <c r="F114" s="617"/>
      <c r="G114" s="646"/>
      <c r="H114" s="647"/>
      <c r="I114" s="648"/>
    </row>
    <row r="115" spans="1:12" ht="24" customHeight="1" x14ac:dyDescent="0.25">
      <c r="A115" s="34">
        <f t="shared" si="3"/>
        <v>12</v>
      </c>
      <c r="B115" s="155"/>
      <c r="C115" s="644" t="s">
        <v>225</v>
      </c>
      <c r="D115" s="645"/>
      <c r="E115" s="616" t="s">
        <v>225</v>
      </c>
      <c r="F115" s="617"/>
      <c r="G115" s="646"/>
      <c r="H115" s="647"/>
      <c r="I115" s="648"/>
    </row>
    <row r="116" spans="1:12" ht="24" customHeight="1" x14ac:dyDescent="0.25">
      <c r="A116" s="34">
        <f t="shared" si="3"/>
        <v>13</v>
      </c>
      <c r="B116" s="155"/>
      <c r="C116" s="644" t="s">
        <v>225</v>
      </c>
      <c r="D116" s="645"/>
      <c r="E116" s="616" t="s">
        <v>225</v>
      </c>
      <c r="F116" s="617"/>
      <c r="G116" s="646"/>
      <c r="H116" s="647"/>
      <c r="I116" s="648"/>
    </row>
    <row r="117" spans="1:12" ht="24" customHeight="1" x14ac:dyDescent="0.25">
      <c r="A117" s="34">
        <f t="shared" si="3"/>
        <v>14</v>
      </c>
      <c r="B117" s="155"/>
      <c r="C117" s="644" t="s">
        <v>225</v>
      </c>
      <c r="D117" s="645"/>
      <c r="E117" s="616" t="s">
        <v>225</v>
      </c>
      <c r="F117" s="617"/>
      <c r="G117" s="646"/>
      <c r="H117" s="647"/>
      <c r="I117" s="648"/>
    </row>
    <row r="118" spans="1:12" ht="24" customHeight="1" x14ac:dyDescent="0.25">
      <c r="A118" s="34">
        <f t="shared" si="3"/>
        <v>15</v>
      </c>
      <c r="B118" s="155"/>
      <c r="C118" s="644" t="s">
        <v>225</v>
      </c>
      <c r="D118" s="645"/>
      <c r="E118" s="616" t="s">
        <v>225</v>
      </c>
      <c r="F118" s="617"/>
      <c r="G118" s="646"/>
      <c r="H118" s="647"/>
      <c r="I118" s="648"/>
    </row>
    <row r="119" spans="1:12" ht="24" customHeight="1" x14ac:dyDescent="0.25">
      <c r="A119" s="34">
        <f t="shared" si="3"/>
        <v>16</v>
      </c>
      <c r="B119" s="155"/>
      <c r="C119" s="644" t="s">
        <v>225</v>
      </c>
      <c r="D119" s="645"/>
      <c r="E119" s="616" t="s">
        <v>225</v>
      </c>
      <c r="F119" s="617"/>
      <c r="G119" s="646"/>
      <c r="H119" s="647"/>
      <c r="I119" s="648"/>
    </row>
    <row r="120" spans="1:12" ht="24" customHeight="1" x14ac:dyDescent="0.25">
      <c r="A120" s="34">
        <f t="shared" si="3"/>
        <v>17</v>
      </c>
      <c r="B120" s="155"/>
      <c r="C120" s="644" t="s">
        <v>225</v>
      </c>
      <c r="D120" s="645"/>
      <c r="E120" s="616" t="s">
        <v>225</v>
      </c>
      <c r="F120" s="617"/>
      <c r="G120" s="646"/>
      <c r="H120" s="647"/>
      <c r="I120" s="648"/>
    </row>
    <row r="121" spans="1:12" ht="24" customHeight="1" x14ac:dyDescent="0.25">
      <c r="A121" s="34">
        <f t="shared" si="3"/>
        <v>18</v>
      </c>
      <c r="B121" s="155"/>
      <c r="C121" s="644" t="s">
        <v>225</v>
      </c>
      <c r="D121" s="645"/>
      <c r="E121" s="616" t="s">
        <v>225</v>
      </c>
      <c r="F121" s="617"/>
      <c r="G121" s="646"/>
      <c r="H121" s="647"/>
      <c r="I121" s="648"/>
    </row>
    <row r="122" spans="1:12" ht="24" customHeight="1" x14ac:dyDescent="0.25">
      <c r="A122" s="34">
        <f t="shared" si="3"/>
        <v>19</v>
      </c>
      <c r="B122" s="155"/>
      <c r="C122" s="644" t="s">
        <v>225</v>
      </c>
      <c r="D122" s="645"/>
      <c r="E122" s="616" t="s">
        <v>225</v>
      </c>
      <c r="F122" s="617"/>
      <c r="G122" s="646"/>
      <c r="H122" s="647"/>
      <c r="I122" s="648"/>
    </row>
    <row r="123" spans="1:12" ht="24" customHeight="1" x14ac:dyDescent="0.25">
      <c r="A123" s="34">
        <f t="shared" si="3"/>
        <v>20</v>
      </c>
      <c r="B123" s="155"/>
      <c r="C123" s="644" t="s">
        <v>225</v>
      </c>
      <c r="D123" s="645"/>
      <c r="E123" s="616" t="s">
        <v>225</v>
      </c>
      <c r="F123" s="617"/>
      <c r="G123" s="646"/>
      <c r="H123" s="647"/>
      <c r="I123" s="648"/>
    </row>
    <row r="124" spans="1:12" ht="24" customHeight="1" x14ac:dyDescent="0.25">
      <c r="A124" s="34">
        <f t="shared" si="3"/>
        <v>21</v>
      </c>
      <c r="B124" s="155"/>
      <c r="C124" s="644" t="s">
        <v>225</v>
      </c>
      <c r="D124" s="645"/>
      <c r="E124" s="616" t="s">
        <v>225</v>
      </c>
      <c r="F124" s="617"/>
      <c r="G124" s="646"/>
      <c r="H124" s="647"/>
      <c r="I124" s="648"/>
    </row>
    <row r="125" spans="1:12" ht="24" customHeight="1" x14ac:dyDescent="0.25">
      <c r="A125" s="34">
        <f t="shared" si="3"/>
        <v>22</v>
      </c>
      <c r="B125" s="155"/>
      <c r="C125" s="644" t="s">
        <v>225</v>
      </c>
      <c r="D125" s="645"/>
      <c r="E125" s="616" t="s">
        <v>225</v>
      </c>
      <c r="F125" s="617"/>
      <c r="G125" s="646"/>
      <c r="H125" s="647"/>
      <c r="I125" s="648"/>
    </row>
    <row r="126" spans="1:12" ht="24" customHeight="1" x14ac:dyDescent="0.25">
      <c r="A126" s="34">
        <f t="shared" si="3"/>
        <v>23</v>
      </c>
      <c r="B126" s="155"/>
      <c r="C126" s="644" t="s">
        <v>225</v>
      </c>
      <c r="D126" s="645"/>
      <c r="E126" s="616" t="s">
        <v>225</v>
      </c>
      <c r="F126" s="617"/>
      <c r="G126" s="646"/>
      <c r="H126" s="647"/>
      <c r="I126" s="648"/>
    </row>
    <row r="127" spans="1:12" ht="24" customHeight="1" thickBot="1" x14ac:dyDescent="0.3">
      <c r="A127" s="26">
        <f t="shared" si="3"/>
        <v>24</v>
      </c>
      <c r="B127" s="156"/>
      <c r="C127" s="649" t="s">
        <v>225</v>
      </c>
      <c r="D127" s="650"/>
      <c r="E127" s="620" t="s">
        <v>225</v>
      </c>
      <c r="F127" s="621"/>
      <c r="G127" s="651"/>
      <c r="H127" s="652"/>
      <c r="I127" s="653"/>
      <c r="K127" s="49"/>
      <c r="L127" s="49"/>
    </row>
    <row r="128" spans="1:12" s="49" customFormat="1" ht="3" customHeight="1" x14ac:dyDescent="0.25">
      <c r="A128" s="276"/>
      <c r="B128" s="276"/>
      <c r="C128" s="276"/>
      <c r="D128" s="276"/>
      <c r="E128" s="276"/>
      <c r="F128" s="276"/>
      <c r="G128" s="276"/>
      <c r="H128" s="115"/>
      <c r="I128" s="28"/>
    </row>
  </sheetData>
  <mergeCells count="348">
    <mergeCell ref="C94:D94"/>
    <mergeCell ref="E94:F94"/>
    <mergeCell ref="G94:I94"/>
    <mergeCell ref="C95:D95"/>
    <mergeCell ref="E95:F95"/>
    <mergeCell ref="G95:I95"/>
    <mergeCell ref="C92:D92"/>
    <mergeCell ref="E92:F92"/>
    <mergeCell ref="G92:I92"/>
    <mergeCell ref="C93:D93"/>
    <mergeCell ref="E93:F93"/>
    <mergeCell ref="G93:I93"/>
    <mergeCell ref="C90:D90"/>
    <mergeCell ref="E90:F90"/>
    <mergeCell ref="G90:I90"/>
    <mergeCell ref="C91:D91"/>
    <mergeCell ref="E91:F91"/>
    <mergeCell ref="G91:I91"/>
    <mergeCell ref="C88:D88"/>
    <mergeCell ref="E88:F88"/>
    <mergeCell ref="G88:I88"/>
    <mergeCell ref="C89:D89"/>
    <mergeCell ref="E89:F89"/>
    <mergeCell ref="G89:I89"/>
    <mergeCell ref="C86:D86"/>
    <mergeCell ref="E86:F86"/>
    <mergeCell ref="G86:I86"/>
    <mergeCell ref="C87:D87"/>
    <mergeCell ref="E87:F87"/>
    <mergeCell ref="G87:I87"/>
    <mergeCell ref="C84:D84"/>
    <mergeCell ref="E84:F84"/>
    <mergeCell ref="G84:I84"/>
    <mergeCell ref="C85:D85"/>
    <mergeCell ref="E85:F85"/>
    <mergeCell ref="G85:I85"/>
    <mergeCell ref="C82:D82"/>
    <mergeCell ref="E82:F82"/>
    <mergeCell ref="G82:I82"/>
    <mergeCell ref="C83:D83"/>
    <mergeCell ref="E83:F83"/>
    <mergeCell ref="G83:I83"/>
    <mergeCell ref="C80:D80"/>
    <mergeCell ref="E80:F80"/>
    <mergeCell ref="G80:I80"/>
    <mergeCell ref="C81:D81"/>
    <mergeCell ref="E81:F81"/>
    <mergeCell ref="G81:I81"/>
    <mergeCell ref="C78:D78"/>
    <mergeCell ref="E78:F78"/>
    <mergeCell ref="G78:I78"/>
    <mergeCell ref="C79:D79"/>
    <mergeCell ref="E79:F79"/>
    <mergeCell ref="G79:I79"/>
    <mergeCell ref="C76:D76"/>
    <mergeCell ref="E76:F76"/>
    <mergeCell ref="G76:I76"/>
    <mergeCell ref="C77:D77"/>
    <mergeCell ref="E77:F77"/>
    <mergeCell ref="G77:I77"/>
    <mergeCell ref="C74:D74"/>
    <mergeCell ref="E74:F74"/>
    <mergeCell ref="G74:I74"/>
    <mergeCell ref="C75:D75"/>
    <mergeCell ref="E75:F75"/>
    <mergeCell ref="G75:I75"/>
    <mergeCell ref="C72:D72"/>
    <mergeCell ref="E72:F72"/>
    <mergeCell ref="G72:I72"/>
    <mergeCell ref="C73:D73"/>
    <mergeCell ref="E73:F73"/>
    <mergeCell ref="G73:I73"/>
    <mergeCell ref="H68:I68"/>
    <mergeCell ref="A69:I69"/>
    <mergeCell ref="A70:A71"/>
    <mergeCell ref="B70:B71"/>
    <mergeCell ref="C70:D70"/>
    <mergeCell ref="E70:F70"/>
    <mergeCell ref="G70:I71"/>
    <mergeCell ref="C71:D71"/>
    <mergeCell ref="E71:F71"/>
    <mergeCell ref="C65:F65"/>
    <mergeCell ref="G65:I65"/>
    <mergeCell ref="C66:F66"/>
    <mergeCell ref="G66:I66"/>
    <mergeCell ref="B67:C67"/>
    <mergeCell ref="H67:I67"/>
    <mergeCell ref="C62:D62"/>
    <mergeCell ref="E62:F62"/>
    <mergeCell ref="G62:I62"/>
    <mergeCell ref="C63:D63"/>
    <mergeCell ref="E63:F63"/>
    <mergeCell ref="G63:I63"/>
    <mergeCell ref="C60:D60"/>
    <mergeCell ref="E60:F60"/>
    <mergeCell ref="G60:I60"/>
    <mergeCell ref="C61:D61"/>
    <mergeCell ref="E61:F61"/>
    <mergeCell ref="G61:I61"/>
    <mergeCell ref="C58:D58"/>
    <mergeCell ref="E58:F58"/>
    <mergeCell ref="G58:I58"/>
    <mergeCell ref="C59:D59"/>
    <mergeCell ref="E59:F59"/>
    <mergeCell ref="G59:I59"/>
    <mergeCell ref="C56:D56"/>
    <mergeCell ref="E56:F56"/>
    <mergeCell ref="G56:I56"/>
    <mergeCell ref="C57:D57"/>
    <mergeCell ref="E57:F57"/>
    <mergeCell ref="G57:I57"/>
    <mergeCell ref="C54:D54"/>
    <mergeCell ref="E54:F54"/>
    <mergeCell ref="G54:I54"/>
    <mergeCell ref="C55:D55"/>
    <mergeCell ref="E55:F55"/>
    <mergeCell ref="G55:I55"/>
    <mergeCell ref="C52:D52"/>
    <mergeCell ref="E52:F52"/>
    <mergeCell ref="G52:I52"/>
    <mergeCell ref="C53:D53"/>
    <mergeCell ref="E53:F53"/>
    <mergeCell ref="G53:I53"/>
    <mergeCell ref="C50:D50"/>
    <mergeCell ref="E50:F50"/>
    <mergeCell ref="G50:I50"/>
    <mergeCell ref="C51:D51"/>
    <mergeCell ref="E51:F51"/>
    <mergeCell ref="G51:I51"/>
    <mergeCell ref="C48:D48"/>
    <mergeCell ref="E48:F48"/>
    <mergeCell ref="G48:I48"/>
    <mergeCell ref="C49:D49"/>
    <mergeCell ref="E49:F49"/>
    <mergeCell ref="G49:I49"/>
    <mergeCell ref="C46:D46"/>
    <mergeCell ref="E46:F46"/>
    <mergeCell ref="G46:I46"/>
    <mergeCell ref="C47:D47"/>
    <mergeCell ref="E47:F47"/>
    <mergeCell ref="G47:I47"/>
    <mergeCell ref="C44:D44"/>
    <mergeCell ref="E44:F44"/>
    <mergeCell ref="G44:I44"/>
    <mergeCell ref="C45:D45"/>
    <mergeCell ref="E45:F45"/>
    <mergeCell ref="G45:I45"/>
    <mergeCell ref="C42:D42"/>
    <mergeCell ref="E42:F42"/>
    <mergeCell ref="G42:I42"/>
    <mergeCell ref="C43:D43"/>
    <mergeCell ref="E43:F43"/>
    <mergeCell ref="G43:I43"/>
    <mergeCell ref="C40:D40"/>
    <mergeCell ref="E40:F40"/>
    <mergeCell ref="G40:I40"/>
    <mergeCell ref="C41:D41"/>
    <mergeCell ref="E41:F41"/>
    <mergeCell ref="G41:I41"/>
    <mergeCell ref="H36:I36"/>
    <mergeCell ref="A37:I37"/>
    <mergeCell ref="A38:A39"/>
    <mergeCell ref="B38:B39"/>
    <mergeCell ref="C38:D38"/>
    <mergeCell ref="E38:F38"/>
    <mergeCell ref="G38:I39"/>
    <mergeCell ref="C39:D39"/>
    <mergeCell ref="E39:F39"/>
    <mergeCell ref="C33:F33"/>
    <mergeCell ref="G33:I33"/>
    <mergeCell ref="C34:F34"/>
    <mergeCell ref="G34:I34"/>
    <mergeCell ref="B35:C35"/>
    <mergeCell ref="H35:I35"/>
    <mergeCell ref="C30:D30"/>
    <mergeCell ref="E30:F30"/>
    <mergeCell ref="G30:I30"/>
    <mergeCell ref="C31:D31"/>
    <mergeCell ref="E31:F31"/>
    <mergeCell ref="G31:I31"/>
    <mergeCell ref="C28:D28"/>
    <mergeCell ref="E28:F28"/>
    <mergeCell ref="G28:I28"/>
    <mergeCell ref="C29:D29"/>
    <mergeCell ref="E29:F29"/>
    <mergeCell ref="G29:I29"/>
    <mergeCell ref="C26:D26"/>
    <mergeCell ref="E26:F26"/>
    <mergeCell ref="G26:I26"/>
    <mergeCell ref="C27:D27"/>
    <mergeCell ref="E27:F27"/>
    <mergeCell ref="G27:I27"/>
    <mergeCell ref="C24:D24"/>
    <mergeCell ref="E24:F24"/>
    <mergeCell ref="G24:I24"/>
    <mergeCell ref="C25:D25"/>
    <mergeCell ref="E25:F25"/>
    <mergeCell ref="G25:I25"/>
    <mergeCell ref="C22:D22"/>
    <mergeCell ref="E22:F22"/>
    <mergeCell ref="G22:I22"/>
    <mergeCell ref="C23:D23"/>
    <mergeCell ref="E23:F23"/>
    <mergeCell ref="G23:I23"/>
    <mergeCell ref="C20:D20"/>
    <mergeCell ref="E20:F20"/>
    <mergeCell ref="G20:I20"/>
    <mergeCell ref="C21:D21"/>
    <mergeCell ref="E21:F21"/>
    <mergeCell ref="G21:I21"/>
    <mergeCell ref="C18:D18"/>
    <mergeCell ref="E18:F18"/>
    <mergeCell ref="G18:I18"/>
    <mergeCell ref="C19:D19"/>
    <mergeCell ref="E19:F19"/>
    <mergeCell ref="G19:I19"/>
    <mergeCell ref="C16:D16"/>
    <mergeCell ref="E16:F16"/>
    <mergeCell ref="G16:I16"/>
    <mergeCell ref="C17:D17"/>
    <mergeCell ref="E17:F17"/>
    <mergeCell ref="G17:I17"/>
    <mergeCell ref="C14:D14"/>
    <mergeCell ref="E14:F14"/>
    <mergeCell ref="G14:I14"/>
    <mergeCell ref="C15:D15"/>
    <mergeCell ref="E15:F15"/>
    <mergeCell ref="G15:I15"/>
    <mergeCell ref="C12:D12"/>
    <mergeCell ref="E12:F12"/>
    <mergeCell ref="G12:I12"/>
    <mergeCell ref="C13:D13"/>
    <mergeCell ref="E13:F13"/>
    <mergeCell ref="G13:I13"/>
    <mergeCell ref="C10:D10"/>
    <mergeCell ref="E10:F10"/>
    <mergeCell ref="G10:I10"/>
    <mergeCell ref="C11:D11"/>
    <mergeCell ref="E11:F11"/>
    <mergeCell ref="G11:I11"/>
    <mergeCell ref="C9:D9"/>
    <mergeCell ref="E9:F9"/>
    <mergeCell ref="G9:I9"/>
    <mergeCell ref="H4:I4"/>
    <mergeCell ref="A5:I5"/>
    <mergeCell ref="A6:A7"/>
    <mergeCell ref="B6:B7"/>
    <mergeCell ref="C6:D6"/>
    <mergeCell ref="E6:F6"/>
    <mergeCell ref="G6:I7"/>
    <mergeCell ref="C7:D7"/>
    <mergeCell ref="E7:F7"/>
    <mergeCell ref="C1:F1"/>
    <mergeCell ref="G1:I1"/>
    <mergeCell ref="C2:F2"/>
    <mergeCell ref="G2:I2"/>
    <mergeCell ref="B3:C3"/>
    <mergeCell ref="H3:I3"/>
    <mergeCell ref="C8:D8"/>
    <mergeCell ref="E8:F8"/>
    <mergeCell ref="G8:I8"/>
    <mergeCell ref="C97:F97"/>
    <mergeCell ref="G97:I97"/>
    <mergeCell ref="C98:F98"/>
    <mergeCell ref="G98:I98"/>
    <mergeCell ref="B99:C99"/>
    <mergeCell ref="H99:I99"/>
    <mergeCell ref="H100:I100"/>
    <mergeCell ref="A101:I101"/>
    <mergeCell ref="A102:A103"/>
    <mergeCell ref="B102:B103"/>
    <mergeCell ref="C102:D102"/>
    <mergeCell ref="E102:F102"/>
    <mergeCell ref="G102:I103"/>
    <mergeCell ref="C103:D103"/>
    <mergeCell ref="E103:F103"/>
    <mergeCell ref="C104:D104"/>
    <mergeCell ref="E104:F104"/>
    <mergeCell ref="G104:I104"/>
    <mergeCell ref="C105:D105"/>
    <mergeCell ref="E105:F105"/>
    <mergeCell ref="G105:I105"/>
    <mergeCell ref="C106:D106"/>
    <mergeCell ref="E106:F106"/>
    <mergeCell ref="G106:I106"/>
    <mergeCell ref="C107:D107"/>
    <mergeCell ref="E107:F107"/>
    <mergeCell ref="G107:I107"/>
    <mergeCell ref="C108:D108"/>
    <mergeCell ref="E108:F108"/>
    <mergeCell ref="G108:I108"/>
    <mergeCell ref="C109:D109"/>
    <mergeCell ref="E109:F109"/>
    <mergeCell ref="G109:I109"/>
    <mergeCell ref="C110:D110"/>
    <mergeCell ref="E110:F110"/>
    <mergeCell ref="G110:I110"/>
    <mergeCell ref="C111:D111"/>
    <mergeCell ref="E111:F111"/>
    <mergeCell ref="G111:I111"/>
    <mergeCell ref="C112:D112"/>
    <mergeCell ref="E112:F112"/>
    <mergeCell ref="G112:I112"/>
    <mergeCell ref="C113:D113"/>
    <mergeCell ref="E113:F113"/>
    <mergeCell ref="G113:I113"/>
    <mergeCell ref="C114:D114"/>
    <mergeCell ref="E114:F114"/>
    <mergeCell ref="G114:I114"/>
    <mergeCell ref="C115:D115"/>
    <mergeCell ref="E115:F115"/>
    <mergeCell ref="G115:I115"/>
    <mergeCell ref="C116:D116"/>
    <mergeCell ref="E116:F116"/>
    <mergeCell ref="G116:I116"/>
    <mergeCell ref="C117:D117"/>
    <mergeCell ref="E117:F117"/>
    <mergeCell ref="G117:I117"/>
    <mergeCell ref="C118:D118"/>
    <mergeCell ref="E118:F118"/>
    <mergeCell ref="G118:I118"/>
    <mergeCell ref="C119:D119"/>
    <mergeCell ref="E119:F119"/>
    <mergeCell ref="G119:I119"/>
    <mergeCell ref="C120:D120"/>
    <mergeCell ref="E120:F120"/>
    <mergeCell ref="G120:I120"/>
    <mergeCell ref="C121:D121"/>
    <mergeCell ref="E121:F121"/>
    <mergeCell ref="G121:I121"/>
    <mergeCell ref="C122:D122"/>
    <mergeCell ref="E122:F122"/>
    <mergeCell ref="G122:I122"/>
    <mergeCell ref="C123:D123"/>
    <mergeCell ref="E123:F123"/>
    <mergeCell ref="G123:I123"/>
    <mergeCell ref="C124:D124"/>
    <mergeCell ref="E124:F124"/>
    <mergeCell ref="G124:I124"/>
    <mergeCell ref="C125:D125"/>
    <mergeCell ref="E125:F125"/>
    <mergeCell ref="G125:I125"/>
    <mergeCell ref="C126:D126"/>
    <mergeCell ref="E126:F126"/>
    <mergeCell ref="G126:I126"/>
    <mergeCell ref="C127:D127"/>
    <mergeCell ref="E127:F127"/>
    <mergeCell ref="G127:I127"/>
  </mergeCells>
  <pageMargins left="0.78740157480314965" right="0.39370078740157483" top="0.78740157480314965" bottom="0.78740157480314965" header="0" footer="0"/>
  <pageSetup paperSize="9" scale="99" orientation="portrait" horizontalDpi="300" r:id="rId1"/>
  <rowBreaks count="3" manualBreakCount="3">
    <brk id="32" max="8" man="1"/>
    <brk id="64" max="8" man="1"/>
    <brk id="96" max="8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L64"/>
  <sheetViews>
    <sheetView view="pageBreakPreview" zoomScaleSheetLayoutView="100" workbookViewId="0"/>
  </sheetViews>
  <sheetFormatPr defaultColWidth="9.140625" defaultRowHeight="15" x14ac:dyDescent="0.25"/>
  <cols>
    <col min="1" max="6" width="9.140625" style="17"/>
    <col min="7" max="7" width="9.140625" style="17" customWidth="1"/>
    <col min="8" max="10" width="9.140625" style="17"/>
    <col min="11" max="11" width="22.42578125" style="17" customWidth="1"/>
    <col min="12" max="16384" width="9.140625" style="17"/>
  </cols>
  <sheetData>
    <row r="1" spans="1:12" ht="21" customHeight="1" x14ac:dyDescent="0.25">
      <c r="A1" s="31"/>
      <c r="B1" s="163"/>
      <c r="C1" s="587" t="str">
        <f>НазваниеКраткое</f>
        <v>Западные ворота - 2017</v>
      </c>
      <c r="D1" s="582"/>
      <c r="E1" s="582"/>
      <c r="F1" s="588"/>
      <c r="G1" s="590" t="str">
        <f ca="1">INDIRECT(ADDRESS(L3,1,,,"Общее"))</f>
        <v>ДС-2 РУ Финиш</v>
      </c>
      <c r="H1" s="591"/>
      <c r="I1" s="592"/>
    </row>
    <row r="2" spans="1:12" ht="21" customHeight="1" thickBot="1" x14ac:dyDescent="0.3">
      <c r="A2" s="31"/>
      <c r="B2" s="164"/>
      <c r="C2" s="583" t="s">
        <v>11</v>
      </c>
      <c r="D2" s="583"/>
      <c r="E2" s="583"/>
      <c r="F2" s="589"/>
      <c r="G2" s="593" t="s">
        <v>187</v>
      </c>
      <c r="H2" s="594"/>
      <c r="I2" s="595"/>
    </row>
    <row r="3" spans="1:12" ht="21" customHeight="1" x14ac:dyDescent="0.25">
      <c r="A3" s="106" t="s">
        <v>12</v>
      </c>
      <c r="B3" s="597" t="str">
        <f ca="1">INDIRECT(ADDRESS(L3,14,,,"Общее"))</f>
        <v>Васильев</v>
      </c>
      <c r="C3" s="598"/>
      <c r="D3" s="107" t="s">
        <v>184</v>
      </c>
      <c r="E3" s="112" t="s">
        <v>181</v>
      </c>
      <c r="F3" s="110">
        <f ca="1">INDIRECT(ADDRESS(L3,11,,,"Общее"))</f>
        <v>0.47341554596547575</v>
      </c>
      <c r="G3" s="112" t="s">
        <v>180</v>
      </c>
      <c r="H3" s="602" t="s">
        <v>225</v>
      </c>
      <c r="I3" s="603"/>
      <c r="K3" s="17" t="s">
        <v>207</v>
      </c>
      <c r="L3" s="17">
        <v>16</v>
      </c>
    </row>
    <row r="4" spans="1:12" ht="21" customHeight="1" thickBot="1" x14ac:dyDescent="0.3">
      <c r="A4" s="108" t="s">
        <v>183</v>
      </c>
      <c r="B4" s="161"/>
      <c r="C4" s="114"/>
      <c r="D4" s="109" t="s">
        <v>185</v>
      </c>
      <c r="E4" s="113" t="s">
        <v>181</v>
      </c>
      <c r="F4" s="111">
        <f ca="1">INDIRECT(ADDRESS(L3,13,,,"Общее"))</f>
        <v>0.52995115750033461</v>
      </c>
      <c r="G4" s="113" t="s">
        <v>180</v>
      </c>
      <c r="H4" s="604" t="s">
        <v>225</v>
      </c>
      <c r="I4" s="605"/>
    </row>
    <row r="5" spans="1:12" ht="50.1" customHeight="1" thickBot="1" x14ac:dyDescent="0.3">
      <c r="A5" s="628" t="s">
        <v>233</v>
      </c>
      <c r="B5" s="628"/>
      <c r="C5" s="628"/>
      <c r="D5" s="628"/>
      <c r="E5" s="628"/>
      <c r="F5" s="628"/>
      <c r="G5" s="628"/>
      <c r="H5" s="628"/>
      <c r="I5" s="628"/>
    </row>
    <row r="6" spans="1:12" ht="21" customHeight="1" x14ac:dyDescent="0.25">
      <c r="A6" s="629"/>
      <c r="B6" s="631" t="s">
        <v>0</v>
      </c>
      <c r="C6" s="633" t="s">
        <v>41</v>
      </c>
      <c r="D6" s="659"/>
      <c r="E6" s="634"/>
      <c r="F6" s="637" t="s">
        <v>90</v>
      </c>
      <c r="G6" s="638"/>
      <c r="H6" s="638"/>
      <c r="I6" s="639"/>
    </row>
    <row r="7" spans="1:12" ht="21" customHeight="1" x14ac:dyDescent="0.25">
      <c r="A7" s="630"/>
      <c r="B7" s="632"/>
      <c r="C7" s="635" t="s">
        <v>228</v>
      </c>
      <c r="D7" s="660"/>
      <c r="E7" s="636"/>
      <c r="F7" s="640"/>
      <c r="G7" s="641"/>
      <c r="H7" s="641"/>
      <c r="I7" s="642"/>
    </row>
    <row r="8" spans="1:12" ht="24" customHeight="1" x14ac:dyDescent="0.25">
      <c r="A8" s="40">
        <v>1</v>
      </c>
      <c r="B8" s="154"/>
      <c r="C8" s="618" t="s">
        <v>227</v>
      </c>
      <c r="D8" s="662"/>
      <c r="E8" s="619"/>
      <c r="F8" s="609"/>
      <c r="G8" s="610"/>
      <c r="H8" s="610"/>
      <c r="I8" s="615"/>
    </row>
    <row r="9" spans="1:12" ht="24" customHeight="1" x14ac:dyDescent="0.25">
      <c r="A9" s="34">
        <f>1+A8</f>
        <v>2</v>
      </c>
      <c r="B9" s="155"/>
      <c r="C9" s="616" t="s">
        <v>227</v>
      </c>
      <c r="D9" s="661"/>
      <c r="E9" s="617"/>
      <c r="F9" s="584"/>
      <c r="G9" s="585"/>
      <c r="H9" s="585"/>
      <c r="I9" s="613"/>
    </row>
    <row r="10" spans="1:12" ht="24" customHeight="1" x14ac:dyDescent="0.25">
      <c r="A10" s="34">
        <f t="shared" ref="A10:A30" si="0">1+A9</f>
        <v>3</v>
      </c>
      <c r="B10" s="155"/>
      <c r="C10" s="616" t="s">
        <v>227</v>
      </c>
      <c r="D10" s="661"/>
      <c r="E10" s="617"/>
      <c r="F10" s="584"/>
      <c r="G10" s="585"/>
      <c r="H10" s="585"/>
      <c r="I10" s="613"/>
    </row>
    <row r="11" spans="1:12" ht="24" customHeight="1" x14ac:dyDescent="0.25">
      <c r="A11" s="34">
        <f t="shared" si="0"/>
        <v>4</v>
      </c>
      <c r="B11" s="155"/>
      <c r="C11" s="616" t="s">
        <v>227</v>
      </c>
      <c r="D11" s="661"/>
      <c r="E11" s="617"/>
      <c r="F11" s="584"/>
      <c r="G11" s="585"/>
      <c r="H11" s="585"/>
      <c r="I11" s="613"/>
    </row>
    <row r="12" spans="1:12" ht="24" customHeight="1" x14ac:dyDescent="0.25">
      <c r="A12" s="34">
        <f t="shared" si="0"/>
        <v>5</v>
      </c>
      <c r="B12" s="155"/>
      <c r="C12" s="616" t="s">
        <v>227</v>
      </c>
      <c r="D12" s="661"/>
      <c r="E12" s="617"/>
      <c r="F12" s="584"/>
      <c r="G12" s="585"/>
      <c r="H12" s="585"/>
      <c r="I12" s="613"/>
    </row>
    <row r="13" spans="1:12" ht="24" customHeight="1" x14ac:dyDescent="0.25">
      <c r="A13" s="34">
        <f t="shared" si="0"/>
        <v>6</v>
      </c>
      <c r="B13" s="155"/>
      <c r="C13" s="616" t="s">
        <v>227</v>
      </c>
      <c r="D13" s="661"/>
      <c r="E13" s="617"/>
      <c r="F13" s="584"/>
      <c r="G13" s="585"/>
      <c r="H13" s="585"/>
      <c r="I13" s="613"/>
    </row>
    <row r="14" spans="1:12" ht="24" customHeight="1" x14ac:dyDescent="0.25">
      <c r="A14" s="34">
        <f t="shared" si="0"/>
        <v>7</v>
      </c>
      <c r="B14" s="155"/>
      <c r="C14" s="616" t="s">
        <v>227</v>
      </c>
      <c r="D14" s="661"/>
      <c r="E14" s="617"/>
      <c r="F14" s="584"/>
      <c r="G14" s="585"/>
      <c r="H14" s="585"/>
      <c r="I14" s="613"/>
    </row>
    <row r="15" spans="1:12" ht="24" customHeight="1" x14ac:dyDescent="0.25">
      <c r="A15" s="34">
        <f t="shared" si="0"/>
        <v>8</v>
      </c>
      <c r="B15" s="155"/>
      <c r="C15" s="616" t="s">
        <v>227</v>
      </c>
      <c r="D15" s="661"/>
      <c r="E15" s="617"/>
      <c r="F15" s="584"/>
      <c r="G15" s="585"/>
      <c r="H15" s="585"/>
      <c r="I15" s="613"/>
    </row>
    <row r="16" spans="1:12" ht="24" customHeight="1" x14ac:dyDescent="0.25">
      <c r="A16" s="34">
        <f t="shared" si="0"/>
        <v>9</v>
      </c>
      <c r="B16" s="155"/>
      <c r="C16" s="616" t="s">
        <v>227</v>
      </c>
      <c r="D16" s="661"/>
      <c r="E16" s="617"/>
      <c r="F16" s="584"/>
      <c r="G16" s="585"/>
      <c r="H16" s="585"/>
      <c r="I16" s="613"/>
    </row>
    <row r="17" spans="1:9" ht="24" customHeight="1" x14ac:dyDescent="0.25">
      <c r="A17" s="34">
        <f t="shared" si="0"/>
        <v>10</v>
      </c>
      <c r="B17" s="155"/>
      <c r="C17" s="616" t="s">
        <v>227</v>
      </c>
      <c r="D17" s="661"/>
      <c r="E17" s="617"/>
      <c r="F17" s="584"/>
      <c r="G17" s="585"/>
      <c r="H17" s="585"/>
      <c r="I17" s="613"/>
    </row>
    <row r="18" spans="1:9" ht="24" customHeight="1" x14ac:dyDescent="0.25">
      <c r="A18" s="34">
        <f t="shared" si="0"/>
        <v>11</v>
      </c>
      <c r="B18" s="155"/>
      <c r="C18" s="616" t="s">
        <v>227</v>
      </c>
      <c r="D18" s="661"/>
      <c r="E18" s="617"/>
      <c r="F18" s="584"/>
      <c r="G18" s="585"/>
      <c r="H18" s="585"/>
      <c r="I18" s="613"/>
    </row>
    <row r="19" spans="1:9" ht="24" customHeight="1" x14ac:dyDescent="0.25">
      <c r="A19" s="34">
        <f t="shared" si="0"/>
        <v>12</v>
      </c>
      <c r="B19" s="155"/>
      <c r="C19" s="616" t="s">
        <v>227</v>
      </c>
      <c r="D19" s="661"/>
      <c r="E19" s="617"/>
      <c r="F19" s="584"/>
      <c r="G19" s="585"/>
      <c r="H19" s="585"/>
      <c r="I19" s="613"/>
    </row>
    <row r="20" spans="1:9" ht="24" customHeight="1" x14ac:dyDescent="0.25">
      <c r="A20" s="34">
        <f t="shared" si="0"/>
        <v>13</v>
      </c>
      <c r="B20" s="155"/>
      <c r="C20" s="616" t="s">
        <v>227</v>
      </c>
      <c r="D20" s="661"/>
      <c r="E20" s="617"/>
      <c r="F20" s="584"/>
      <c r="G20" s="585"/>
      <c r="H20" s="585"/>
      <c r="I20" s="613"/>
    </row>
    <row r="21" spans="1:9" ht="24" customHeight="1" x14ac:dyDescent="0.25">
      <c r="A21" s="34">
        <f t="shared" si="0"/>
        <v>14</v>
      </c>
      <c r="B21" s="155"/>
      <c r="C21" s="616" t="s">
        <v>227</v>
      </c>
      <c r="D21" s="661"/>
      <c r="E21" s="617"/>
      <c r="F21" s="584"/>
      <c r="G21" s="585"/>
      <c r="H21" s="585"/>
      <c r="I21" s="613"/>
    </row>
    <row r="22" spans="1:9" ht="24" customHeight="1" x14ac:dyDescent="0.25">
      <c r="A22" s="34">
        <f t="shared" si="0"/>
        <v>15</v>
      </c>
      <c r="B22" s="155"/>
      <c r="C22" s="616" t="s">
        <v>227</v>
      </c>
      <c r="D22" s="661"/>
      <c r="E22" s="617"/>
      <c r="F22" s="584"/>
      <c r="G22" s="585"/>
      <c r="H22" s="585"/>
      <c r="I22" s="613"/>
    </row>
    <row r="23" spans="1:9" ht="24" customHeight="1" x14ac:dyDescent="0.25">
      <c r="A23" s="34">
        <f t="shared" si="0"/>
        <v>16</v>
      </c>
      <c r="B23" s="155"/>
      <c r="C23" s="616" t="s">
        <v>227</v>
      </c>
      <c r="D23" s="661"/>
      <c r="E23" s="617"/>
      <c r="F23" s="584"/>
      <c r="G23" s="585"/>
      <c r="H23" s="585"/>
      <c r="I23" s="613"/>
    </row>
    <row r="24" spans="1:9" ht="24" customHeight="1" x14ac:dyDescent="0.25">
      <c r="A24" s="34">
        <f t="shared" si="0"/>
        <v>17</v>
      </c>
      <c r="B24" s="155"/>
      <c r="C24" s="616" t="s">
        <v>227</v>
      </c>
      <c r="D24" s="661"/>
      <c r="E24" s="617"/>
      <c r="F24" s="584"/>
      <c r="G24" s="585"/>
      <c r="H24" s="585"/>
      <c r="I24" s="613"/>
    </row>
    <row r="25" spans="1:9" ht="24" customHeight="1" x14ac:dyDescent="0.25">
      <c r="A25" s="34">
        <f t="shared" si="0"/>
        <v>18</v>
      </c>
      <c r="B25" s="155"/>
      <c r="C25" s="616" t="s">
        <v>227</v>
      </c>
      <c r="D25" s="661"/>
      <c r="E25" s="617"/>
      <c r="F25" s="584"/>
      <c r="G25" s="585"/>
      <c r="H25" s="585"/>
      <c r="I25" s="613"/>
    </row>
    <row r="26" spans="1:9" ht="24" customHeight="1" x14ac:dyDescent="0.25">
      <c r="A26" s="34">
        <f t="shared" si="0"/>
        <v>19</v>
      </c>
      <c r="B26" s="155"/>
      <c r="C26" s="616" t="s">
        <v>227</v>
      </c>
      <c r="D26" s="661"/>
      <c r="E26" s="617"/>
      <c r="F26" s="584"/>
      <c r="G26" s="585"/>
      <c r="H26" s="585"/>
      <c r="I26" s="613"/>
    </row>
    <row r="27" spans="1:9" ht="24" customHeight="1" x14ac:dyDescent="0.25">
      <c r="A27" s="34">
        <f t="shared" si="0"/>
        <v>20</v>
      </c>
      <c r="B27" s="155"/>
      <c r="C27" s="616" t="s">
        <v>227</v>
      </c>
      <c r="D27" s="661"/>
      <c r="E27" s="617"/>
      <c r="F27" s="584"/>
      <c r="G27" s="585"/>
      <c r="H27" s="585"/>
      <c r="I27" s="613"/>
    </row>
    <row r="28" spans="1:9" ht="24" customHeight="1" x14ac:dyDescent="0.25">
      <c r="A28" s="34">
        <f t="shared" si="0"/>
        <v>21</v>
      </c>
      <c r="B28" s="155"/>
      <c r="C28" s="616" t="s">
        <v>227</v>
      </c>
      <c r="D28" s="661"/>
      <c r="E28" s="617"/>
      <c r="F28" s="584"/>
      <c r="G28" s="585"/>
      <c r="H28" s="585"/>
      <c r="I28" s="613"/>
    </row>
    <row r="29" spans="1:9" ht="24" customHeight="1" x14ac:dyDescent="0.25">
      <c r="A29" s="34">
        <f t="shared" si="0"/>
        <v>22</v>
      </c>
      <c r="B29" s="155"/>
      <c r="C29" s="616" t="s">
        <v>227</v>
      </c>
      <c r="D29" s="661"/>
      <c r="E29" s="617"/>
      <c r="F29" s="584"/>
      <c r="G29" s="585"/>
      <c r="H29" s="585"/>
      <c r="I29" s="613"/>
    </row>
    <row r="30" spans="1:9" ht="24" customHeight="1" x14ac:dyDescent="0.25">
      <c r="A30" s="34">
        <f t="shared" si="0"/>
        <v>23</v>
      </c>
      <c r="B30" s="155"/>
      <c r="C30" s="616" t="s">
        <v>227</v>
      </c>
      <c r="D30" s="661"/>
      <c r="E30" s="617"/>
      <c r="F30" s="584"/>
      <c r="G30" s="585"/>
      <c r="H30" s="585"/>
      <c r="I30" s="613"/>
    </row>
    <row r="31" spans="1:9" s="49" customFormat="1" ht="24" customHeight="1" thickBot="1" x14ac:dyDescent="0.3">
      <c r="A31" s="26">
        <f>1+A30</f>
        <v>24</v>
      </c>
      <c r="B31" s="156"/>
      <c r="C31" s="620" t="s">
        <v>227</v>
      </c>
      <c r="D31" s="663"/>
      <c r="E31" s="621"/>
      <c r="F31" s="599"/>
      <c r="G31" s="600"/>
      <c r="H31" s="600"/>
      <c r="I31" s="614"/>
    </row>
    <row r="32" spans="1:9" s="49" customFormat="1" ht="3" customHeight="1" thickBot="1" x14ac:dyDescent="0.3">
      <c r="A32" s="32"/>
      <c r="B32" s="32"/>
      <c r="C32" s="32"/>
      <c r="D32" s="32"/>
      <c r="E32" s="32"/>
      <c r="F32" s="32"/>
      <c r="G32" s="32"/>
      <c r="H32" s="32"/>
      <c r="I32" s="28"/>
    </row>
    <row r="33" spans="1:12" ht="21" customHeight="1" x14ac:dyDescent="0.25">
      <c r="A33" s="31"/>
      <c r="B33" s="163"/>
      <c r="C33" s="587" t="str">
        <f>НазваниеКраткое</f>
        <v>Западные ворота - 2017</v>
      </c>
      <c r="D33" s="582"/>
      <c r="E33" s="582"/>
      <c r="F33" s="588"/>
      <c r="G33" s="590" t="str">
        <f ca="1">INDIRECT(ADDRESS(L35,1,,,"Общее"))</f>
        <v>ДС-3 РУ Финиш</v>
      </c>
      <c r="H33" s="591"/>
      <c r="I33" s="592"/>
    </row>
    <row r="34" spans="1:12" ht="21" customHeight="1" thickBot="1" x14ac:dyDescent="0.3">
      <c r="A34" s="31"/>
      <c r="B34" s="164"/>
      <c r="C34" s="583" t="s">
        <v>11</v>
      </c>
      <c r="D34" s="583"/>
      <c r="E34" s="583"/>
      <c r="F34" s="589"/>
      <c r="G34" s="593" t="s">
        <v>187</v>
      </c>
      <c r="H34" s="594"/>
      <c r="I34" s="595"/>
    </row>
    <row r="35" spans="1:12" ht="21" customHeight="1" x14ac:dyDescent="0.25">
      <c r="A35" s="106" t="s">
        <v>12</v>
      </c>
      <c r="B35" s="597" t="str">
        <f ca="1">INDIRECT(ADDRESS(L35,14,,,"Общее"))</f>
        <v>Андронов</v>
      </c>
      <c r="C35" s="598"/>
      <c r="D35" s="107" t="s">
        <v>184</v>
      </c>
      <c r="E35" s="112" t="s">
        <v>181</v>
      </c>
      <c r="F35" s="110">
        <f ca="1">INDIRECT(ADDRESS(L35,11,,,"Общее"))</f>
        <v>0.51040346028814954</v>
      </c>
      <c r="G35" s="112" t="s">
        <v>180</v>
      </c>
      <c r="H35" s="602" t="s">
        <v>225</v>
      </c>
      <c r="I35" s="603"/>
      <c r="K35" s="17" t="s">
        <v>207</v>
      </c>
      <c r="L35" s="17">
        <v>21</v>
      </c>
    </row>
    <row r="36" spans="1:12" ht="21" customHeight="1" thickBot="1" x14ac:dyDescent="0.3">
      <c r="A36" s="108" t="s">
        <v>183</v>
      </c>
      <c r="B36" s="161"/>
      <c r="C36" s="114"/>
      <c r="D36" s="109" t="s">
        <v>185</v>
      </c>
      <c r="E36" s="113" t="s">
        <v>181</v>
      </c>
      <c r="F36" s="111">
        <f ca="1">INDIRECT(ADDRESS(L35,13,,,"Общее"))</f>
        <v>0.56629458697617518</v>
      </c>
      <c r="G36" s="113" t="s">
        <v>180</v>
      </c>
      <c r="H36" s="604" t="s">
        <v>225</v>
      </c>
      <c r="I36" s="605"/>
    </row>
    <row r="37" spans="1:12" ht="50.1" customHeight="1" thickBot="1" x14ac:dyDescent="0.3">
      <c r="A37" s="628" t="s">
        <v>233</v>
      </c>
      <c r="B37" s="628"/>
      <c r="C37" s="628"/>
      <c r="D37" s="628"/>
      <c r="E37" s="628"/>
      <c r="F37" s="628"/>
      <c r="G37" s="628"/>
      <c r="H37" s="628"/>
      <c r="I37" s="628"/>
    </row>
    <row r="38" spans="1:12" ht="21" customHeight="1" x14ac:dyDescent="0.25">
      <c r="A38" s="629"/>
      <c r="B38" s="631" t="s">
        <v>0</v>
      </c>
      <c r="C38" s="633" t="s">
        <v>41</v>
      </c>
      <c r="D38" s="659"/>
      <c r="E38" s="634"/>
      <c r="F38" s="637" t="s">
        <v>90</v>
      </c>
      <c r="G38" s="638"/>
      <c r="H38" s="638"/>
      <c r="I38" s="639"/>
    </row>
    <row r="39" spans="1:12" ht="21" customHeight="1" x14ac:dyDescent="0.25">
      <c r="A39" s="630"/>
      <c r="B39" s="632"/>
      <c r="C39" s="635" t="s">
        <v>228</v>
      </c>
      <c r="D39" s="660"/>
      <c r="E39" s="636"/>
      <c r="F39" s="640"/>
      <c r="G39" s="641"/>
      <c r="H39" s="641"/>
      <c r="I39" s="642"/>
    </row>
    <row r="40" spans="1:12" ht="24" customHeight="1" x14ac:dyDescent="0.25">
      <c r="A40" s="40">
        <v>1</v>
      </c>
      <c r="B40" s="213"/>
      <c r="C40" s="618" t="s">
        <v>227</v>
      </c>
      <c r="D40" s="662"/>
      <c r="E40" s="619"/>
      <c r="F40" s="609"/>
      <c r="G40" s="610"/>
      <c r="H40" s="610"/>
      <c r="I40" s="615"/>
    </row>
    <row r="41" spans="1:12" ht="24" customHeight="1" x14ac:dyDescent="0.25">
      <c r="A41" s="34">
        <f>1+A40</f>
        <v>2</v>
      </c>
      <c r="B41" s="155"/>
      <c r="C41" s="616" t="s">
        <v>227</v>
      </c>
      <c r="D41" s="661"/>
      <c r="E41" s="617"/>
      <c r="F41" s="584"/>
      <c r="G41" s="585"/>
      <c r="H41" s="585"/>
      <c r="I41" s="613"/>
    </row>
    <row r="42" spans="1:12" ht="24" customHeight="1" x14ac:dyDescent="0.25">
      <c r="A42" s="34">
        <f t="shared" ref="A42:A62" si="1">1+A41</f>
        <v>3</v>
      </c>
      <c r="B42" s="155"/>
      <c r="C42" s="616" t="s">
        <v>227</v>
      </c>
      <c r="D42" s="661"/>
      <c r="E42" s="617"/>
      <c r="F42" s="584"/>
      <c r="G42" s="585"/>
      <c r="H42" s="585"/>
      <c r="I42" s="613"/>
    </row>
    <row r="43" spans="1:12" ht="24" customHeight="1" x14ac:dyDescent="0.25">
      <c r="A43" s="34">
        <f t="shared" si="1"/>
        <v>4</v>
      </c>
      <c r="B43" s="155"/>
      <c r="C43" s="616" t="s">
        <v>227</v>
      </c>
      <c r="D43" s="661"/>
      <c r="E43" s="617"/>
      <c r="F43" s="584"/>
      <c r="G43" s="585"/>
      <c r="H43" s="585"/>
      <c r="I43" s="613"/>
    </row>
    <row r="44" spans="1:12" ht="24" customHeight="1" x14ac:dyDescent="0.25">
      <c r="A44" s="34">
        <f t="shared" si="1"/>
        <v>5</v>
      </c>
      <c r="B44" s="155"/>
      <c r="C44" s="616" t="s">
        <v>227</v>
      </c>
      <c r="D44" s="661"/>
      <c r="E44" s="617"/>
      <c r="F44" s="584"/>
      <c r="G44" s="585"/>
      <c r="H44" s="585"/>
      <c r="I44" s="613"/>
    </row>
    <row r="45" spans="1:12" ht="24" customHeight="1" x14ac:dyDescent="0.25">
      <c r="A45" s="34">
        <f t="shared" si="1"/>
        <v>6</v>
      </c>
      <c r="B45" s="155"/>
      <c r="C45" s="616" t="s">
        <v>227</v>
      </c>
      <c r="D45" s="661"/>
      <c r="E45" s="617"/>
      <c r="F45" s="584"/>
      <c r="G45" s="585"/>
      <c r="H45" s="585"/>
      <c r="I45" s="613"/>
    </row>
    <row r="46" spans="1:12" ht="24" customHeight="1" x14ac:dyDescent="0.25">
      <c r="A46" s="34">
        <f t="shared" si="1"/>
        <v>7</v>
      </c>
      <c r="B46" s="155"/>
      <c r="C46" s="616" t="s">
        <v>227</v>
      </c>
      <c r="D46" s="661"/>
      <c r="E46" s="617"/>
      <c r="F46" s="584"/>
      <c r="G46" s="585"/>
      <c r="H46" s="585"/>
      <c r="I46" s="613"/>
    </row>
    <row r="47" spans="1:12" ht="24" customHeight="1" x14ac:dyDescent="0.25">
      <c r="A47" s="34">
        <f t="shared" si="1"/>
        <v>8</v>
      </c>
      <c r="B47" s="155"/>
      <c r="C47" s="616" t="s">
        <v>227</v>
      </c>
      <c r="D47" s="661"/>
      <c r="E47" s="617"/>
      <c r="F47" s="584"/>
      <c r="G47" s="585"/>
      <c r="H47" s="585"/>
      <c r="I47" s="613"/>
    </row>
    <row r="48" spans="1:12" ht="24" customHeight="1" x14ac:dyDescent="0.25">
      <c r="A48" s="34">
        <f t="shared" si="1"/>
        <v>9</v>
      </c>
      <c r="B48" s="155"/>
      <c r="C48" s="616" t="s">
        <v>227</v>
      </c>
      <c r="D48" s="661"/>
      <c r="E48" s="617"/>
      <c r="F48" s="584"/>
      <c r="G48" s="585"/>
      <c r="H48" s="585"/>
      <c r="I48" s="613"/>
    </row>
    <row r="49" spans="1:9" ht="24" customHeight="1" x14ac:dyDescent="0.25">
      <c r="A49" s="34">
        <f t="shared" si="1"/>
        <v>10</v>
      </c>
      <c r="B49" s="155"/>
      <c r="C49" s="616" t="s">
        <v>227</v>
      </c>
      <c r="D49" s="661"/>
      <c r="E49" s="617"/>
      <c r="F49" s="584"/>
      <c r="G49" s="585"/>
      <c r="H49" s="585"/>
      <c r="I49" s="613"/>
    </row>
    <row r="50" spans="1:9" ht="24" customHeight="1" x14ac:dyDescent="0.25">
      <c r="A50" s="34">
        <f t="shared" si="1"/>
        <v>11</v>
      </c>
      <c r="B50" s="155"/>
      <c r="C50" s="616" t="s">
        <v>227</v>
      </c>
      <c r="D50" s="661"/>
      <c r="E50" s="617"/>
      <c r="F50" s="584"/>
      <c r="G50" s="585"/>
      <c r="H50" s="585"/>
      <c r="I50" s="613"/>
    </row>
    <row r="51" spans="1:9" ht="24" customHeight="1" x14ac:dyDescent="0.25">
      <c r="A51" s="34">
        <f t="shared" si="1"/>
        <v>12</v>
      </c>
      <c r="B51" s="155"/>
      <c r="C51" s="616" t="s">
        <v>227</v>
      </c>
      <c r="D51" s="661"/>
      <c r="E51" s="617"/>
      <c r="F51" s="584"/>
      <c r="G51" s="585"/>
      <c r="H51" s="585"/>
      <c r="I51" s="613"/>
    </row>
    <row r="52" spans="1:9" ht="24" customHeight="1" x14ac:dyDescent="0.25">
      <c r="A52" s="34">
        <f t="shared" si="1"/>
        <v>13</v>
      </c>
      <c r="B52" s="155"/>
      <c r="C52" s="616" t="s">
        <v>227</v>
      </c>
      <c r="D52" s="661"/>
      <c r="E52" s="617"/>
      <c r="F52" s="584"/>
      <c r="G52" s="585"/>
      <c r="H52" s="585"/>
      <c r="I52" s="613"/>
    </row>
    <row r="53" spans="1:9" ht="24" customHeight="1" x14ac:dyDescent="0.25">
      <c r="A53" s="34">
        <f t="shared" si="1"/>
        <v>14</v>
      </c>
      <c r="B53" s="155"/>
      <c r="C53" s="616" t="s">
        <v>227</v>
      </c>
      <c r="D53" s="661"/>
      <c r="E53" s="617"/>
      <c r="F53" s="584"/>
      <c r="G53" s="585"/>
      <c r="H53" s="585"/>
      <c r="I53" s="613"/>
    </row>
    <row r="54" spans="1:9" ht="24" customHeight="1" x14ac:dyDescent="0.25">
      <c r="A54" s="34">
        <f t="shared" si="1"/>
        <v>15</v>
      </c>
      <c r="B54" s="155"/>
      <c r="C54" s="616" t="s">
        <v>227</v>
      </c>
      <c r="D54" s="661"/>
      <c r="E54" s="617"/>
      <c r="F54" s="584"/>
      <c r="G54" s="585"/>
      <c r="H54" s="585"/>
      <c r="I54" s="613"/>
    </row>
    <row r="55" spans="1:9" ht="24" customHeight="1" x14ac:dyDescent="0.25">
      <c r="A55" s="34">
        <f t="shared" si="1"/>
        <v>16</v>
      </c>
      <c r="B55" s="155"/>
      <c r="C55" s="616" t="s">
        <v>227</v>
      </c>
      <c r="D55" s="661"/>
      <c r="E55" s="617"/>
      <c r="F55" s="584"/>
      <c r="G55" s="585"/>
      <c r="H55" s="585"/>
      <c r="I55" s="613"/>
    </row>
    <row r="56" spans="1:9" ht="24" customHeight="1" x14ac:dyDescent="0.25">
      <c r="A56" s="34">
        <f t="shared" si="1"/>
        <v>17</v>
      </c>
      <c r="B56" s="155"/>
      <c r="C56" s="616" t="s">
        <v>227</v>
      </c>
      <c r="D56" s="661"/>
      <c r="E56" s="617"/>
      <c r="F56" s="584"/>
      <c r="G56" s="585"/>
      <c r="H56" s="585"/>
      <c r="I56" s="613"/>
    </row>
    <row r="57" spans="1:9" ht="24" customHeight="1" x14ac:dyDescent="0.25">
      <c r="A57" s="34">
        <f t="shared" si="1"/>
        <v>18</v>
      </c>
      <c r="B57" s="155"/>
      <c r="C57" s="616" t="s">
        <v>227</v>
      </c>
      <c r="D57" s="661"/>
      <c r="E57" s="617"/>
      <c r="F57" s="584"/>
      <c r="G57" s="585"/>
      <c r="H57" s="585"/>
      <c r="I57" s="613"/>
    </row>
    <row r="58" spans="1:9" ht="24" customHeight="1" x14ac:dyDescent="0.25">
      <c r="A58" s="34">
        <f t="shared" si="1"/>
        <v>19</v>
      </c>
      <c r="B58" s="155"/>
      <c r="C58" s="616" t="s">
        <v>227</v>
      </c>
      <c r="D58" s="661"/>
      <c r="E58" s="617"/>
      <c r="F58" s="584"/>
      <c r="G58" s="585"/>
      <c r="H58" s="585"/>
      <c r="I58" s="613"/>
    </row>
    <row r="59" spans="1:9" ht="24" customHeight="1" x14ac:dyDescent="0.25">
      <c r="A59" s="34">
        <f t="shared" si="1"/>
        <v>20</v>
      </c>
      <c r="B59" s="155"/>
      <c r="C59" s="616" t="s">
        <v>227</v>
      </c>
      <c r="D59" s="661"/>
      <c r="E59" s="617"/>
      <c r="F59" s="584"/>
      <c r="G59" s="585"/>
      <c r="H59" s="585"/>
      <c r="I59" s="613"/>
    </row>
    <row r="60" spans="1:9" ht="24" customHeight="1" x14ac:dyDescent="0.25">
      <c r="A60" s="34">
        <f t="shared" si="1"/>
        <v>21</v>
      </c>
      <c r="B60" s="155"/>
      <c r="C60" s="616" t="s">
        <v>227</v>
      </c>
      <c r="D60" s="661"/>
      <c r="E60" s="617"/>
      <c r="F60" s="584"/>
      <c r="G60" s="585"/>
      <c r="H60" s="585"/>
      <c r="I60" s="613"/>
    </row>
    <row r="61" spans="1:9" ht="24" customHeight="1" x14ac:dyDescent="0.25">
      <c r="A61" s="34">
        <f t="shared" si="1"/>
        <v>22</v>
      </c>
      <c r="B61" s="155"/>
      <c r="C61" s="616" t="s">
        <v>227</v>
      </c>
      <c r="D61" s="661"/>
      <c r="E61" s="617"/>
      <c r="F61" s="584"/>
      <c r="G61" s="585"/>
      <c r="H61" s="585"/>
      <c r="I61" s="613"/>
    </row>
    <row r="62" spans="1:9" ht="24" customHeight="1" x14ac:dyDescent="0.25">
      <c r="A62" s="34">
        <f t="shared" si="1"/>
        <v>23</v>
      </c>
      <c r="B62" s="155"/>
      <c r="C62" s="616" t="s">
        <v>227</v>
      </c>
      <c r="D62" s="661"/>
      <c r="E62" s="617"/>
      <c r="F62" s="584"/>
      <c r="G62" s="585"/>
      <c r="H62" s="585"/>
      <c r="I62" s="613"/>
    </row>
    <row r="63" spans="1:9" s="49" customFormat="1" ht="24" customHeight="1" thickBot="1" x14ac:dyDescent="0.3">
      <c r="A63" s="26">
        <f>1+A62</f>
        <v>24</v>
      </c>
      <c r="B63" s="156"/>
      <c r="C63" s="620" t="s">
        <v>227</v>
      </c>
      <c r="D63" s="663"/>
      <c r="E63" s="621"/>
      <c r="F63" s="599"/>
      <c r="G63" s="600"/>
      <c r="H63" s="600"/>
      <c r="I63" s="614"/>
    </row>
    <row r="64" spans="1:9" s="49" customFormat="1" ht="3" customHeight="1" x14ac:dyDescent="0.25">
      <c r="A64" s="32"/>
      <c r="B64" s="32"/>
      <c r="C64" s="32"/>
      <c r="D64" s="32"/>
      <c r="E64" s="32"/>
      <c r="F64" s="32"/>
      <c r="G64" s="32"/>
      <c r="H64" s="32"/>
      <c r="I64" s="28"/>
    </row>
  </sheetData>
  <mergeCells count="122">
    <mergeCell ref="C61:E61"/>
    <mergeCell ref="F61:I61"/>
    <mergeCell ref="C62:E62"/>
    <mergeCell ref="F62:I62"/>
    <mergeCell ref="C63:E63"/>
    <mergeCell ref="F63:I63"/>
    <mergeCell ref="C58:E58"/>
    <mergeCell ref="F58:I58"/>
    <mergeCell ref="C59:E59"/>
    <mergeCell ref="F59:I59"/>
    <mergeCell ref="C60:E60"/>
    <mergeCell ref="F60:I60"/>
    <mergeCell ref="C55:E55"/>
    <mergeCell ref="F55:I55"/>
    <mergeCell ref="C56:E56"/>
    <mergeCell ref="F56:I56"/>
    <mergeCell ref="C57:E57"/>
    <mergeCell ref="F57:I57"/>
    <mergeCell ref="C52:E52"/>
    <mergeCell ref="F52:I52"/>
    <mergeCell ref="C53:E53"/>
    <mergeCell ref="F53:I53"/>
    <mergeCell ref="C54:E54"/>
    <mergeCell ref="F54:I54"/>
    <mergeCell ref="C49:E49"/>
    <mergeCell ref="F49:I49"/>
    <mergeCell ref="C50:E50"/>
    <mergeCell ref="F50:I50"/>
    <mergeCell ref="C51:E51"/>
    <mergeCell ref="F51:I51"/>
    <mergeCell ref="C46:E46"/>
    <mergeCell ref="F46:I46"/>
    <mergeCell ref="C47:E47"/>
    <mergeCell ref="F47:I47"/>
    <mergeCell ref="C48:E48"/>
    <mergeCell ref="F48:I48"/>
    <mergeCell ref="C43:E43"/>
    <mergeCell ref="F43:I43"/>
    <mergeCell ref="C44:E44"/>
    <mergeCell ref="F44:I44"/>
    <mergeCell ref="C45:E45"/>
    <mergeCell ref="F45:I45"/>
    <mergeCell ref="C40:E40"/>
    <mergeCell ref="F40:I40"/>
    <mergeCell ref="C41:E41"/>
    <mergeCell ref="F41:I41"/>
    <mergeCell ref="C42:E42"/>
    <mergeCell ref="F42:I42"/>
    <mergeCell ref="H36:I36"/>
    <mergeCell ref="A37:I37"/>
    <mergeCell ref="A38:A39"/>
    <mergeCell ref="B38:B39"/>
    <mergeCell ref="C38:E38"/>
    <mergeCell ref="F38:I39"/>
    <mergeCell ref="C39:E39"/>
    <mergeCell ref="C33:F33"/>
    <mergeCell ref="G33:I33"/>
    <mergeCell ref="C34:F34"/>
    <mergeCell ref="G34:I34"/>
    <mergeCell ref="B35:C35"/>
    <mergeCell ref="H35:I35"/>
    <mergeCell ref="F29:I29"/>
    <mergeCell ref="F30:I30"/>
    <mergeCell ref="F31:I31"/>
    <mergeCell ref="C29:E29"/>
    <mergeCell ref="C30:E30"/>
    <mergeCell ref="C31:E31"/>
    <mergeCell ref="F26:I26"/>
    <mergeCell ref="F27:I27"/>
    <mergeCell ref="F28:I28"/>
    <mergeCell ref="C26:E26"/>
    <mergeCell ref="C27:E27"/>
    <mergeCell ref="C28:E28"/>
    <mergeCell ref="F23:I23"/>
    <mergeCell ref="F24:I24"/>
    <mergeCell ref="F25:I25"/>
    <mergeCell ref="C23:E23"/>
    <mergeCell ref="C24:E24"/>
    <mergeCell ref="C25:E25"/>
    <mergeCell ref="F20:I20"/>
    <mergeCell ref="F21:I21"/>
    <mergeCell ref="F22:I22"/>
    <mergeCell ref="C20:E20"/>
    <mergeCell ref="C21:E21"/>
    <mergeCell ref="C22:E22"/>
    <mergeCell ref="F17:I17"/>
    <mergeCell ref="F18:I18"/>
    <mergeCell ref="F19:I19"/>
    <mergeCell ref="C17:E17"/>
    <mergeCell ref="C18:E18"/>
    <mergeCell ref="C19:E19"/>
    <mergeCell ref="F14:I14"/>
    <mergeCell ref="F15:I15"/>
    <mergeCell ref="F16:I16"/>
    <mergeCell ref="C14:E14"/>
    <mergeCell ref="C15:E15"/>
    <mergeCell ref="C16:E16"/>
    <mergeCell ref="F11:I11"/>
    <mergeCell ref="F12:I12"/>
    <mergeCell ref="F13:I13"/>
    <mergeCell ref="C11:E11"/>
    <mergeCell ref="C12:E12"/>
    <mergeCell ref="C13:E13"/>
    <mergeCell ref="F8:I8"/>
    <mergeCell ref="F9:I9"/>
    <mergeCell ref="F10:I10"/>
    <mergeCell ref="C8:E8"/>
    <mergeCell ref="C9:E9"/>
    <mergeCell ref="C10:E10"/>
    <mergeCell ref="A6:A7"/>
    <mergeCell ref="C1:F1"/>
    <mergeCell ref="G1:I1"/>
    <mergeCell ref="C2:F2"/>
    <mergeCell ref="G2:I2"/>
    <mergeCell ref="A5:I5"/>
    <mergeCell ref="B3:C3"/>
    <mergeCell ref="B6:B7"/>
    <mergeCell ref="C6:E6"/>
    <mergeCell ref="F6:I7"/>
    <mergeCell ref="H3:I3"/>
    <mergeCell ref="H4:I4"/>
    <mergeCell ref="C7:E7"/>
  </mergeCells>
  <pageMargins left="0.78740157480314965" right="0.39370078740157483" top="0.78740157480314965" bottom="0.78740157480314965" header="0" footer="0"/>
  <pageSetup paperSize="9" scale="99" orientation="portrait" horizontalDpi="300" r:id="rId1"/>
  <rowBreaks count="1" manualBreakCount="1">
    <brk id="32" max="8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L96"/>
  <sheetViews>
    <sheetView view="pageBreakPreview" zoomScaleSheetLayoutView="100" workbookViewId="0"/>
  </sheetViews>
  <sheetFormatPr defaultColWidth="9.140625" defaultRowHeight="15" x14ac:dyDescent="0.25"/>
  <cols>
    <col min="1" max="6" width="9.140625" style="17"/>
    <col min="7" max="7" width="9.140625" style="17" customWidth="1"/>
    <col min="8" max="10" width="9.140625" style="17"/>
    <col min="11" max="11" width="22.42578125" style="17" customWidth="1"/>
    <col min="12" max="16384" width="9.140625" style="17"/>
  </cols>
  <sheetData>
    <row r="1" spans="1:12" ht="21" customHeight="1" x14ac:dyDescent="0.25">
      <c r="A1" s="31"/>
      <c r="B1" s="163"/>
      <c r="C1" s="587" t="str">
        <f>НазваниеКраткое</f>
        <v>Западные ворота - 2017</v>
      </c>
      <c r="D1" s="582"/>
      <c r="E1" s="582"/>
      <c r="F1" s="588"/>
      <c r="G1" s="590" t="str">
        <f ca="1">INDIRECT(ADDRESS(L3,1,,,"Общее"))</f>
        <v>ДС-1 РД Финиш</v>
      </c>
      <c r="H1" s="591"/>
      <c r="I1" s="592"/>
    </row>
    <row r="2" spans="1:12" ht="21" customHeight="1" thickBot="1" x14ac:dyDescent="0.3">
      <c r="A2" s="31"/>
      <c r="B2" s="164"/>
      <c r="C2" s="583" t="s">
        <v>11</v>
      </c>
      <c r="D2" s="583"/>
      <c r="E2" s="583"/>
      <c r="F2" s="589"/>
      <c r="G2" s="593" t="s">
        <v>187</v>
      </c>
      <c r="H2" s="594"/>
      <c r="I2" s="595"/>
    </row>
    <row r="3" spans="1:12" ht="21" customHeight="1" x14ac:dyDescent="0.25">
      <c r="A3" s="106" t="s">
        <v>12</v>
      </c>
      <c r="B3" s="597" t="str">
        <f ca="1">INDIRECT(ADDRESS(L3,14,,,"Общее"))</f>
        <v>Сызмас</v>
      </c>
      <c r="C3" s="598"/>
      <c r="D3" s="107" t="s">
        <v>184</v>
      </c>
      <c r="E3" s="112" t="s">
        <v>181</v>
      </c>
      <c r="F3" s="110">
        <f ca="1">INDIRECT(ADDRESS(L3,11,,,"Общее"))</f>
        <v>0.43591435185185184</v>
      </c>
      <c r="G3" s="112" t="s">
        <v>180</v>
      </c>
      <c r="H3" s="602" t="s">
        <v>225</v>
      </c>
      <c r="I3" s="603"/>
      <c r="K3" s="17" t="s">
        <v>207</v>
      </c>
      <c r="L3" s="17">
        <v>14</v>
      </c>
    </row>
    <row r="4" spans="1:12" ht="21" customHeight="1" thickBot="1" x14ac:dyDescent="0.3">
      <c r="A4" s="108" t="s">
        <v>183</v>
      </c>
      <c r="B4" s="161"/>
      <c r="C4" s="114"/>
      <c r="D4" s="109" t="s">
        <v>185</v>
      </c>
      <c r="E4" s="113" t="s">
        <v>181</v>
      </c>
      <c r="F4" s="111">
        <f ca="1">INDIRECT(ADDRESS(L3,13,,,"Общее"))</f>
        <v>0.49433962264150949</v>
      </c>
      <c r="G4" s="113" t="s">
        <v>180</v>
      </c>
      <c r="H4" s="604" t="s">
        <v>225</v>
      </c>
      <c r="I4" s="605"/>
    </row>
    <row r="5" spans="1:12" ht="50.1" customHeight="1" thickBot="1" x14ac:dyDescent="0.3">
      <c r="A5" s="628" t="s">
        <v>186</v>
      </c>
      <c r="B5" s="628"/>
      <c r="C5" s="628"/>
      <c r="D5" s="628"/>
      <c r="E5" s="628"/>
      <c r="F5" s="628"/>
      <c r="G5" s="628"/>
      <c r="H5" s="628"/>
      <c r="I5" s="628"/>
    </row>
    <row r="6" spans="1:12" ht="21" customHeight="1" x14ac:dyDescent="0.25">
      <c r="A6" s="629"/>
      <c r="B6" s="631" t="s">
        <v>0</v>
      </c>
      <c r="C6" s="633" t="s">
        <v>41</v>
      </c>
      <c r="D6" s="659"/>
      <c r="E6" s="634"/>
      <c r="F6" s="637" t="s">
        <v>90</v>
      </c>
      <c r="G6" s="638"/>
      <c r="H6" s="638"/>
      <c r="I6" s="639"/>
    </row>
    <row r="7" spans="1:12" ht="21" customHeight="1" x14ac:dyDescent="0.25">
      <c r="A7" s="630"/>
      <c r="B7" s="632"/>
      <c r="C7" s="635" t="s">
        <v>228</v>
      </c>
      <c r="D7" s="660"/>
      <c r="E7" s="636"/>
      <c r="F7" s="640"/>
      <c r="G7" s="641"/>
      <c r="H7" s="641"/>
      <c r="I7" s="642"/>
    </row>
    <row r="8" spans="1:12" ht="24" customHeight="1" x14ac:dyDescent="0.25">
      <c r="A8" s="40">
        <v>1</v>
      </c>
      <c r="B8" s="154"/>
      <c r="C8" s="618" t="s">
        <v>227</v>
      </c>
      <c r="D8" s="662"/>
      <c r="E8" s="619"/>
      <c r="F8" s="609"/>
      <c r="G8" s="610"/>
      <c r="H8" s="610"/>
      <c r="I8" s="615"/>
    </row>
    <row r="9" spans="1:12" ht="24" customHeight="1" x14ac:dyDescent="0.25">
      <c r="A9" s="34">
        <f>1+A8</f>
        <v>2</v>
      </c>
      <c r="B9" s="155"/>
      <c r="C9" s="616" t="s">
        <v>227</v>
      </c>
      <c r="D9" s="661"/>
      <c r="E9" s="617"/>
      <c r="F9" s="584"/>
      <c r="G9" s="585"/>
      <c r="H9" s="585"/>
      <c r="I9" s="613"/>
    </row>
    <row r="10" spans="1:12" ht="24" customHeight="1" x14ac:dyDescent="0.25">
      <c r="A10" s="34">
        <f t="shared" ref="A10:A30" si="0">1+A9</f>
        <v>3</v>
      </c>
      <c r="B10" s="155"/>
      <c r="C10" s="616" t="s">
        <v>227</v>
      </c>
      <c r="D10" s="661"/>
      <c r="E10" s="617"/>
      <c r="F10" s="584"/>
      <c r="G10" s="585"/>
      <c r="H10" s="585"/>
      <c r="I10" s="613"/>
    </row>
    <row r="11" spans="1:12" ht="24" customHeight="1" x14ac:dyDescent="0.25">
      <c r="A11" s="34">
        <f t="shared" si="0"/>
        <v>4</v>
      </c>
      <c r="B11" s="155"/>
      <c r="C11" s="616" t="s">
        <v>227</v>
      </c>
      <c r="D11" s="661"/>
      <c r="E11" s="617"/>
      <c r="F11" s="584"/>
      <c r="G11" s="585"/>
      <c r="H11" s="585"/>
      <c r="I11" s="613"/>
    </row>
    <row r="12" spans="1:12" ht="24" customHeight="1" x14ac:dyDescent="0.25">
      <c r="A12" s="34">
        <f t="shared" si="0"/>
        <v>5</v>
      </c>
      <c r="B12" s="155"/>
      <c r="C12" s="616" t="s">
        <v>227</v>
      </c>
      <c r="D12" s="661"/>
      <c r="E12" s="617"/>
      <c r="F12" s="584"/>
      <c r="G12" s="585"/>
      <c r="H12" s="585"/>
      <c r="I12" s="613"/>
    </row>
    <row r="13" spans="1:12" ht="24" customHeight="1" x14ac:dyDescent="0.25">
      <c r="A13" s="34">
        <f t="shared" si="0"/>
        <v>6</v>
      </c>
      <c r="B13" s="155"/>
      <c r="C13" s="616" t="s">
        <v>227</v>
      </c>
      <c r="D13" s="661"/>
      <c r="E13" s="617"/>
      <c r="F13" s="584"/>
      <c r="G13" s="585"/>
      <c r="H13" s="585"/>
      <c r="I13" s="613"/>
    </row>
    <row r="14" spans="1:12" ht="24" customHeight="1" x14ac:dyDescent="0.25">
      <c r="A14" s="34">
        <f t="shared" si="0"/>
        <v>7</v>
      </c>
      <c r="B14" s="155"/>
      <c r="C14" s="616" t="s">
        <v>227</v>
      </c>
      <c r="D14" s="661"/>
      <c r="E14" s="617"/>
      <c r="F14" s="584"/>
      <c r="G14" s="585"/>
      <c r="H14" s="585"/>
      <c r="I14" s="613"/>
    </row>
    <row r="15" spans="1:12" ht="24" customHeight="1" x14ac:dyDescent="0.25">
      <c r="A15" s="34">
        <f t="shared" si="0"/>
        <v>8</v>
      </c>
      <c r="B15" s="155"/>
      <c r="C15" s="616" t="s">
        <v>227</v>
      </c>
      <c r="D15" s="661"/>
      <c r="E15" s="617"/>
      <c r="F15" s="584"/>
      <c r="G15" s="585"/>
      <c r="H15" s="585"/>
      <c r="I15" s="613"/>
    </row>
    <row r="16" spans="1:12" ht="24" customHeight="1" x14ac:dyDescent="0.25">
      <c r="A16" s="34">
        <f t="shared" si="0"/>
        <v>9</v>
      </c>
      <c r="B16" s="155"/>
      <c r="C16" s="616" t="s">
        <v>227</v>
      </c>
      <c r="D16" s="661"/>
      <c r="E16" s="617"/>
      <c r="F16" s="584"/>
      <c r="G16" s="585"/>
      <c r="H16" s="585"/>
      <c r="I16" s="613"/>
    </row>
    <row r="17" spans="1:9" ht="24" customHeight="1" x14ac:dyDescent="0.25">
      <c r="A17" s="34">
        <f t="shared" si="0"/>
        <v>10</v>
      </c>
      <c r="B17" s="155"/>
      <c r="C17" s="616" t="s">
        <v>227</v>
      </c>
      <c r="D17" s="661"/>
      <c r="E17" s="617"/>
      <c r="F17" s="584"/>
      <c r="G17" s="585"/>
      <c r="H17" s="585"/>
      <c r="I17" s="613"/>
    </row>
    <row r="18" spans="1:9" ht="24" customHeight="1" x14ac:dyDescent="0.25">
      <c r="A18" s="34">
        <f t="shared" si="0"/>
        <v>11</v>
      </c>
      <c r="B18" s="155"/>
      <c r="C18" s="616" t="s">
        <v>227</v>
      </c>
      <c r="D18" s="661"/>
      <c r="E18" s="617"/>
      <c r="F18" s="584"/>
      <c r="G18" s="585"/>
      <c r="H18" s="585"/>
      <c r="I18" s="613"/>
    </row>
    <row r="19" spans="1:9" ht="24" customHeight="1" x14ac:dyDescent="0.25">
      <c r="A19" s="34">
        <f t="shared" si="0"/>
        <v>12</v>
      </c>
      <c r="B19" s="155"/>
      <c r="C19" s="616" t="s">
        <v>227</v>
      </c>
      <c r="D19" s="661"/>
      <c r="E19" s="617"/>
      <c r="F19" s="584"/>
      <c r="G19" s="585"/>
      <c r="H19" s="585"/>
      <c r="I19" s="613"/>
    </row>
    <row r="20" spans="1:9" ht="24" customHeight="1" x14ac:dyDescent="0.25">
      <c r="A20" s="34">
        <f t="shared" si="0"/>
        <v>13</v>
      </c>
      <c r="B20" s="155"/>
      <c r="C20" s="616" t="s">
        <v>227</v>
      </c>
      <c r="D20" s="661"/>
      <c r="E20" s="617"/>
      <c r="F20" s="584"/>
      <c r="G20" s="585"/>
      <c r="H20" s="585"/>
      <c r="I20" s="613"/>
    </row>
    <row r="21" spans="1:9" ht="24" customHeight="1" x14ac:dyDescent="0.25">
      <c r="A21" s="34">
        <f t="shared" si="0"/>
        <v>14</v>
      </c>
      <c r="B21" s="155"/>
      <c r="C21" s="616" t="s">
        <v>227</v>
      </c>
      <c r="D21" s="661"/>
      <c r="E21" s="617"/>
      <c r="F21" s="584"/>
      <c r="G21" s="585"/>
      <c r="H21" s="585"/>
      <c r="I21" s="613"/>
    </row>
    <row r="22" spans="1:9" ht="24" customHeight="1" x14ac:dyDescent="0.25">
      <c r="A22" s="34">
        <f t="shared" si="0"/>
        <v>15</v>
      </c>
      <c r="B22" s="155"/>
      <c r="C22" s="616" t="s">
        <v>227</v>
      </c>
      <c r="D22" s="661"/>
      <c r="E22" s="617"/>
      <c r="F22" s="584"/>
      <c r="G22" s="585"/>
      <c r="H22" s="585"/>
      <c r="I22" s="613"/>
    </row>
    <row r="23" spans="1:9" ht="24" customHeight="1" x14ac:dyDescent="0.25">
      <c r="A23" s="34">
        <f t="shared" si="0"/>
        <v>16</v>
      </c>
      <c r="B23" s="155"/>
      <c r="C23" s="616" t="s">
        <v>227</v>
      </c>
      <c r="D23" s="661"/>
      <c r="E23" s="617"/>
      <c r="F23" s="584"/>
      <c r="G23" s="585"/>
      <c r="H23" s="585"/>
      <c r="I23" s="613"/>
    </row>
    <row r="24" spans="1:9" ht="24" customHeight="1" x14ac:dyDescent="0.25">
      <c r="A24" s="34">
        <f t="shared" si="0"/>
        <v>17</v>
      </c>
      <c r="B24" s="155"/>
      <c r="C24" s="616" t="s">
        <v>227</v>
      </c>
      <c r="D24" s="661"/>
      <c r="E24" s="617"/>
      <c r="F24" s="584"/>
      <c r="G24" s="585"/>
      <c r="H24" s="585"/>
      <c r="I24" s="613"/>
    </row>
    <row r="25" spans="1:9" ht="24" customHeight="1" x14ac:dyDescent="0.25">
      <c r="A25" s="34">
        <f t="shared" si="0"/>
        <v>18</v>
      </c>
      <c r="B25" s="155"/>
      <c r="C25" s="616" t="s">
        <v>227</v>
      </c>
      <c r="D25" s="661"/>
      <c r="E25" s="617"/>
      <c r="F25" s="584"/>
      <c r="G25" s="585"/>
      <c r="H25" s="585"/>
      <c r="I25" s="613"/>
    </row>
    <row r="26" spans="1:9" ht="24" customHeight="1" x14ac:dyDescent="0.25">
      <c r="A26" s="34">
        <f t="shared" si="0"/>
        <v>19</v>
      </c>
      <c r="B26" s="155"/>
      <c r="C26" s="616" t="s">
        <v>227</v>
      </c>
      <c r="D26" s="661"/>
      <c r="E26" s="617"/>
      <c r="F26" s="584"/>
      <c r="G26" s="585"/>
      <c r="H26" s="585"/>
      <c r="I26" s="613"/>
    </row>
    <row r="27" spans="1:9" ht="24" customHeight="1" x14ac:dyDescent="0.25">
      <c r="A27" s="34">
        <f t="shared" si="0"/>
        <v>20</v>
      </c>
      <c r="B27" s="155"/>
      <c r="C27" s="616" t="s">
        <v>227</v>
      </c>
      <c r="D27" s="661"/>
      <c r="E27" s="617"/>
      <c r="F27" s="584"/>
      <c r="G27" s="585"/>
      <c r="H27" s="585"/>
      <c r="I27" s="613"/>
    </row>
    <row r="28" spans="1:9" ht="24" customHeight="1" x14ac:dyDescent="0.25">
      <c r="A28" s="34">
        <f t="shared" si="0"/>
        <v>21</v>
      </c>
      <c r="B28" s="155"/>
      <c r="C28" s="616" t="s">
        <v>227</v>
      </c>
      <c r="D28" s="661"/>
      <c r="E28" s="617"/>
      <c r="F28" s="584"/>
      <c r="G28" s="585"/>
      <c r="H28" s="585"/>
      <c r="I28" s="613"/>
    </row>
    <row r="29" spans="1:9" ht="24" customHeight="1" x14ac:dyDescent="0.25">
      <c r="A29" s="34">
        <f t="shared" si="0"/>
        <v>22</v>
      </c>
      <c r="B29" s="155"/>
      <c r="C29" s="616" t="s">
        <v>227</v>
      </c>
      <c r="D29" s="661"/>
      <c r="E29" s="617"/>
      <c r="F29" s="584"/>
      <c r="G29" s="585"/>
      <c r="H29" s="585"/>
      <c r="I29" s="613"/>
    </row>
    <row r="30" spans="1:9" ht="24" customHeight="1" x14ac:dyDescent="0.25">
      <c r="A30" s="34">
        <f t="shared" si="0"/>
        <v>23</v>
      </c>
      <c r="B30" s="155"/>
      <c r="C30" s="616" t="s">
        <v>227</v>
      </c>
      <c r="D30" s="661"/>
      <c r="E30" s="617"/>
      <c r="F30" s="584"/>
      <c r="G30" s="585"/>
      <c r="H30" s="585"/>
      <c r="I30" s="613"/>
    </row>
    <row r="31" spans="1:9" s="49" customFormat="1" ht="24" customHeight="1" thickBot="1" x14ac:dyDescent="0.3">
      <c r="A31" s="26">
        <f>1+A30</f>
        <v>24</v>
      </c>
      <c r="B31" s="156"/>
      <c r="C31" s="620" t="s">
        <v>227</v>
      </c>
      <c r="D31" s="663"/>
      <c r="E31" s="621"/>
      <c r="F31" s="599"/>
      <c r="G31" s="600"/>
      <c r="H31" s="600"/>
      <c r="I31" s="614"/>
    </row>
    <row r="32" spans="1:9" s="49" customFormat="1" ht="3" customHeight="1" thickBot="1" x14ac:dyDescent="0.3">
      <c r="A32" s="32"/>
      <c r="B32" s="32"/>
      <c r="C32" s="32"/>
      <c r="D32" s="32"/>
      <c r="E32" s="32"/>
      <c r="F32" s="32"/>
      <c r="G32" s="32"/>
      <c r="H32" s="32"/>
      <c r="I32" s="28"/>
    </row>
    <row r="33" spans="1:12" ht="21" customHeight="1" x14ac:dyDescent="0.25">
      <c r="A33" s="31"/>
      <c r="B33" s="163"/>
      <c r="C33" s="587" t="str">
        <f>НазваниеКраткое</f>
        <v>Западные ворота - 2017</v>
      </c>
      <c r="D33" s="582"/>
      <c r="E33" s="582"/>
      <c r="F33" s="588"/>
      <c r="G33" s="590" t="str">
        <f ca="1">INDIRECT(ADDRESS(L35,1,,,"Общее"))</f>
        <v>ДС-4 РД Финиш</v>
      </c>
      <c r="H33" s="591"/>
      <c r="I33" s="592"/>
    </row>
    <row r="34" spans="1:12" ht="21" customHeight="1" thickBot="1" x14ac:dyDescent="0.3">
      <c r="A34" s="31"/>
      <c r="B34" s="164"/>
      <c r="C34" s="583" t="s">
        <v>11</v>
      </c>
      <c r="D34" s="583"/>
      <c r="E34" s="583"/>
      <c r="F34" s="589"/>
      <c r="G34" s="593" t="s">
        <v>187</v>
      </c>
      <c r="H34" s="594"/>
      <c r="I34" s="595"/>
    </row>
    <row r="35" spans="1:12" ht="21" customHeight="1" x14ac:dyDescent="0.25">
      <c r="A35" s="106" t="s">
        <v>12</v>
      </c>
      <c r="B35" s="597" t="str">
        <f ca="1">INDIRECT(ADDRESS(L35,14,,,"Общее"))</f>
        <v>Курилин</v>
      </c>
      <c r="C35" s="598"/>
      <c r="D35" s="107" t="s">
        <v>184</v>
      </c>
      <c r="E35" s="112" t="s">
        <v>181</v>
      </c>
      <c r="F35" s="110">
        <f ca="1">INDIRECT(ADDRESS(L35,11,,,"Общее"))</f>
        <v>0.55283224645787166</v>
      </c>
      <c r="G35" s="112" t="s">
        <v>180</v>
      </c>
      <c r="H35" s="602" t="s">
        <v>225</v>
      </c>
      <c r="I35" s="603"/>
      <c r="K35" s="17" t="s">
        <v>207</v>
      </c>
      <c r="L35" s="17">
        <v>23</v>
      </c>
    </row>
    <row r="36" spans="1:12" ht="21" customHeight="1" thickBot="1" x14ac:dyDescent="0.3">
      <c r="A36" s="108" t="s">
        <v>183</v>
      </c>
      <c r="B36" s="161"/>
      <c r="C36" s="114"/>
      <c r="D36" s="109" t="s">
        <v>185</v>
      </c>
      <c r="E36" s="113" t="s">
        <v>181</v>
      </c>
      <c r="F36" s="111">
        <f ca="1">INDIRECT(ADDRESS(L35,13,,,"Общее"))</f>
        <v>0.62125474419874505</v>
      </c>
      <c r="G36" s="113" t="s">
        <v>180</v>
      </c>
      <c r="H36" s="604" t="s">
        <v>225</v>
      </c>
      <c r="I36" s="605"/>
    </row>
    <row r="37" spans="1:12" ht="50.1" customHeight="1" thickBot="1" x14ac:dyDescent="0.3">
      <c r="A37" s="628" t="s">
        <v>186</v>
      </c>
      <c r="B37" s="628"/>
      <c r="C37" s="628"/>
      <c r="D37" s="628"/>
      <c r="E37" s="628"/>
      <c r="F37" s="628"/>
      <c r="G37" s="628"/>
      <c r="H37" s="628"/>
      <c r="I37" s="628"/>
    </row>
    <row r="38" spans="1:12" ht="21" customHeight="1" x14ac:dyDescent="0.25">
      <c r="A38" s="629"/>
      <c r="B38" s="631" t="s">
        <v>0</v>
      </c>
      <c r="C38" s="633" t="s">
        <v>41</v>
      </c>
      <c r="D38" s="659"/>
      <c r="E38" s="634"/>
      <c r="F38" s="637" t="s">
        <v>90</v>
      </c>
      <c r="G38" s="638"/>
      <c r="H38" s="638"/>
      <c r="I38" s="639"/>
    </row>
    <row r="39" spans="1:12" ht="21" customHeight="1" x14ac:dyDescent="0.25">
      <c r="A39" s="630"/>
      <c r="B39" s="632"/>
      <c r="C39" s="635" t="s">
        <v>228</v>
      </c>
      <c r="D39" s="660"/>
      <c r="E39" s="636"/>
      <c r="F39" s="640"/>
      <c r="G39" s="641"/>
      <c r="H39" s="641"/>
      <c r="I39" s="642"/>
    </row>
    <row r="40" spans="1:12" ht="24" customHeight="1" x14ac:dyDescent="0.25">
      <c r="A40" s="40">
        <v>1</v>
      </c>
      <c r="B40" s="213"/>
      <c r="C40" s="618" t="s">
        <v>227</v>
      </c>
      <c r="D40" s="662"/>
      <c r="E40" s="619"/>
      <c r="F40" s="609"/>
      <c r="G40" s="610"/>
      <c r="H40" s="610"/>
      <c r="I40" s="615"/>
    </row>
    <row r="41" spans="1:12" ht="24" customHeight="1" x14ac:dyDescent="0.25">
      <c r="A41" s="34">
        <f>1+A40</f>
        <v>2</v>
      </c>
      <c r="B41" s="155"/>
      <c r="C41" s="616" t="s">
        <v>227</v>
      </c>
      <c r="D41" s="661"/>
      <c r="E41" s="617"/>
      <c r="F41" s="584"/>
      <c r="G41" s="585"/>
      <c r="H41" s="585"/>
      <c r="I41" s="613"/>
    </row>
    <row r="42" spans="1:12" ht="24" customHeight="1" x14ac:dyDescent="0.25">
      <c r="A42" s="34">
        <f t="shared" ref="A42:A62" si="1">1+A41</f>
        <v>3</v>
      </c>
      <c r="B42" s="155"/>
      <c r="C42" s="616" t="s">
        <v>227</v>
      </c>
      <c r="D42" s="661"/>
      <c r="E42" s="617"/>
      <c r="F42" s="584"/>
      <c r="G42" s="585"/>
      <c r="H42" s="585"/>
      <c r="I42" s="613"/>
    </row>
    <row r="43" spans="1:12" ht="24" customHeight="1" x14ac:dyDescent="0.25">
      <c r="A43" s="34">
        <f t="shared" si="1"/>
        <v>4</v>
      </c>
      <c r="B43" s="155"/>
      <c r="C43" s="616" t="s">
        <v>227</v>
      </c>
      <c r="D43" s="661"/>
      <c r="E43" s="617"/>
      <c r="F43" s="584"/>
      <c r="G43" s="585"/>
      <c r="H43" s="585"/>
      <c r="I43" s="613"/>
    </row>
    <row r="44" spans="1:12" ht="24" customHeight="1" x14ac:dyDescent="0.25">
      <c r="A44" s="34">
        <f t="shared" si="1"/>
        <v>5</v>
      </c>
      <c r="B44" s="155"/>
      <c r="C44" s="616" t="s">
        <v>227</v>
      </c>
      <c r="D44" s="661"/>
      <c r="E44" s="617"/>
      <c r="F44" s="584"/>
      <c r="G44" s="585"/>
      <c r="H44" s="585"/>
      <c r="I44" s="613"/>
    </row>
    <row r="45" spans="1:12" ht="24" customHeight="1" x14ac:dyDescent="0.25">
      <c r="A45" s="34">
        <f t="shared" si="1"/>
        <v>6</v>
      </c>
      <c r="B45" s="155"/>
      <c r="C45" s="616" t="s">
        <v>227</v>
      </c>
      <c r="D45" s="661"/>
      <c r="E45" s="617"/>
      <c r="F45" s="584"/>
      <c r="G45" s="585"/>
      <c r="H45" s="585"/>
      <c r="I45" s="613"/>
    </row>
    <row r="46" spans="1:12" ht="24" customHeight="1" x14ac:dyDescent="0.25">
      <c r="A46" s="34">
        <f t="shared" si="1"/>
        <v>7</v>
      </c>
      <c r="B46" s="155"/>
      <c r="C46" s="616" t="s">
        <v>227</v>
      </c>
      <c r="D46" s="661"/>
      <c r="E46" s="617"/>
      <c r="F46" s="584"/>
      <c r="G46" s="585"/>
      <c r="H46" s="585"/>
      <c r="I46" s="613"/>
    </row>
    <row r="47" spans="1:12" ht="24" customHeight="1" x14ac:dyDescent="0.25">
      <c r="A47" s="34">
        <f t="shared" si="1"/>
        <v>8</v>
      </c>
      <c r="B47" s="155"/>
      <c r="C47" s="616" t="s">
        <v>227</v>
      </c>
      <c r="D47" s="661"/>
      <c r="E47" s="617"/>
      <c r="F47" s="584"/>
      <c r="G47" s="585"/>
      <c r="H47" s="585"/>
      <c r="I47" s="613"/>
    </row>
    <row r="48" spans="1:12" ht="24" customHeight="1" x14ac:dyDescent="0.25">
      <c r="A48" s="34">
        <f t="shared" si="1"/>
        <v>9</v>
      </c>
      <c r="B48" s="155"/>
      <c r="C48" s="616" t="s">
        <v>227</v>
      </c>
      <c r="D48" s="661"/>
      <c r="E48" s="617"/>
      <c r="F48" s="584"/>
      <c r="G48" s="585"/>
      <c r="H48" s="585"/>
      <c r="I48" s="613"/>
    </row>
    <row r="49" spans="1:9" ht="24" customHeight="1" x14ac:dyDescent="0.25">
      <c r="A49" s="34">
        <f t="shared" si="1"/>
        <v>10</v>
      </c>
      <c r="B49" s="155"/>
      <c r="C49" s="616" t="s">
        <v>227</v>
      </c>
      <c r="D49" s="661"/>
      <c r="E49" s="617"/>
      <c r="F49" s="584"/>
      <c r="G49" s="585"/>
      <c r="H49" s="585"/>
      <c r="I49" s="613"/>
    </row>
    <row r="50" spans="1:9" ht="24" customHeight="1" x14ac:dyDescent="0.25">
      <c r="A50" s="34">
        <f t="shared" si="1"/>
        <v>11</v>
      </c>
      <c r="B50" s="155"/>
      <c r="C50" s="616" t="s">
        <v>227</v>
      </c>
      <c r="D50" s="661"/>
      <c r="E50" s="617"/>
      <c r="F50" s="584"/>
      <c r="G50" s="585"/>
      <c r="H50" s="585"/>
      <c r="I50" s="613"/>
    </row>
    <row r="51" spans="1:9" ht="24" customHeight="1" x14ac:dyDescent="0.25">
      <c r="A51" s="34">
        <f t="shared" si="1"/>
        <v>12</v>
      </c>
      <c r="B51" s="155"/>
      <c r="C51" s="616" t="s">
        <v>227</v>
      </c>
      <c r="D51" s="661"/>
      <c r="E51" s="617"/>
      <c r="F51" s="584"/>
      <c r="G51" s="585"/>
      <c r="H51" s="585"/>
      <c r="I51" s="613"/>
    </row>
    <row r="52" spans="1:9" ht="24" customHeight="1" x14ac:dyDescent="0.25">
      <c r="A52" s="34">
        <f t="shared" si="1"/>
        <v>13</v>
      </c>
      <c r="B52" s="155"/>
      <c r="C52" s="616" t="s">
        <v>227</v>
      </c>
      <c r="D52" s="661"/>
      <c r="E52" s="617"/>
      <c r="F52" s="584"/>
      <c r="G52" s="585"/>
      <c r="H52" s="585"/>
      <c r="I52" s="613"/>
    </row>
    <row r="53" spans="1:9" ht="24" customHeight="1" x14ac:dyDescent="0.25">
      <c r="A53" s="34">
        <f t="shared" si="1"/>
        <v>14</v>
      </c>
      <c r="B53" s="155"/>
      <c r="C53" s="616" t="s">
        <v>227</v>
      </c>
      <c r="D53" s="661"/>
      <c r="E53" s="617"/>
      <c r="F53" s="584"/>
      <c r="G53" s="585"/>
      <c r="H53" s="585"/>
      <c r="I53" s="613"/>
    </row>
    <row r="54" spans="1:9" ht="24" customHeight="1" x14ac:dyDescent="0.25">
      <c r="A54" s="34">
        <f t="shared" si="1"/>
        <v>15</v>
      </c>
      <c r="B54" s="155"/>
      <c r="C54" s="616" t="s">
        <v>227</v>
      </c>
      <c r="D54" s="661"/>
      <c r="E54" s="617"/>
      <c r="F54" s="584"/>
      <c r="G54" s="585"/>
      <c r="H54" s="585"/>
      <c r="I54" s="613"/>
    </row>
    <row r="55" spans="1:9" ht="24" customHeight="1" x14ac:dyDescent="0.25">
      <c r="A55" s="34">
        <f t="shared" si="1"/>
        <v>16</v>
      </c>
      <c r="B55" s="155"/>
      <c r="C55" s="616" t="s">
        <v>227</v>
      </c>
      <c r="D55" s="661"/>
      <c r="E55" s="617"/>
      <c r="F55" s="584"/>
      <c r="G55" s="585"/>
      <c r="H55" s="585"/>
      <c r="I55" s="613"/>
    </row>
    <row r="56" spans="1:9" ht="24" customHeight="1" x14ac:dyDescent="0.25">
      <c r="A56" s="34">
        <f t="shared" si="1"/>
        <v>17</v>
      </c>
      <c r="B56" s="155"/>
      <c r="C56" s="616" t="s">
        <v>227</v>
      </c>
      <c r="D56" s="661"/>
      <c r="E56" s="617"/>
      <c r="F56" s="584"/>
      <c r="G56" s="585"/>
      <c r="H56" s="585"/>
      <c r="I56" s="613"/>
    </row>
    <row r="57" spans="1:9" ht="24" customHeight="1" x14ac:dyDescent="0.25">
      <c r="A57" s="34">
        <f t="shared" si="1"/>
        <v>18</v>
      </c>
      <c r="B57" s="155"/>
      <c r="C57" s="616" t="s">
        <v>227</v>
      </c>
      <c r="D57" s="661"/>
      <c r="E57" s="617"/>
      <c r="F57" s="584"/>
      <c r="G57" s="585"/>
      <c r="H57" s="585"/>
      <c r="I57" s="613"/>
    </row>
    <row r="58" spans="1:9" ht="24" customHeight="1" x14ac:dyDescent="0.25">
      <c r="A58" s="34">
        <f t="shared" si="1"/>
        <v>19</v>
      </c>
      <c r="B58" s="155"/>
      <c r="C58" s="616" t="s">
        <v>227</v>
      </c>
      <c r="D58" s="661"/>
      <c r="E58" s="617"/>
      <c r="F58" s="584"/>
      <c r="G58" s="585"/>
      <c r="H58" s="585"/>
      <c r="I58" s="613"/>
    </row>
    <row r="59" spans="1:9" ht="24" customHeight="1" x14ac:dyDescent="0.25">
      <c r="A59" s="34">
        <f t="shared" si="1"/>
        <v>20</v>
      </c>
      <c r="B59" s="155"/>
      <c r="C59" s="616" t="s">
        <v>227</v>
      </c>
      <c r="D59" s="661"/>
      <c r="E59" s="617"/>
      <c r="F59" s="584"/>
      <c r="G59" s="585"/>
      <c r="H59" s="585"/>
      <c r="I59" s="613"/>
    </row>
    <row r="60" spans="1:9" ht="24" customHeight="1" x14ac:dyDescent="0.25">
      <c r="A60" s="34">
        <f t="shared" si="1"/>
        <v>21</v>
      </c>
      <c r="B60" s="155"/>
      <c r="C60" s="616" t="s">
        <v>227</v>
      </c>
      <c r="D60" s="661"/>
      <c r="E60" s="617"/>
      <c r="F60" s="584"/>
      <c r="G60" s="585"/>
      <c r="H60" s="585"/>
      <c r="I60" s="613"/>
    </row>
    <row r="61" spans="1:9" ht="24" customHeight="1" x14ac:dyDescent="0.25">
      <c r="A61" s="34">
        <f t="shared" si="1"/>
        <v>22</v>
      </c>
      <c r="B61" s="155"/>
      <c r="C61" s="616" t="s">
        <v>227</v>
      </c>
      <c r="D61" s="661"/>
      <c r="E61" s="617"/>
      <c r="F61" s="584"/>
      <c r="G61" s="585"/>
      <c r="H61" s="585"/>
      <c r="I61" s="613"/>
    </row>
    <row r="62" spans="1:9" ht="24" customHeight="1" x14ac:dyDescent="0.25">
      <c r="A62" s="34">
        <f t="shared" si="1"/>
        <v>23</v>
      </c>
      <c r="B62" s="155"/>
      <c r="C62" s="616" t="s">
        <v>227</v>
      </c>
      <c r="D62" s="661"/>
      <c r="E62" s="617"/>
      <c r="F62" s="584"/>
      <c r="G62" s="585"/>
      <c r="H62" s="585"/>
      <c r="I62" s="613"/>
    </row>
    <row r="63" spans="1:9" s="49" customFormat="1" ht="24" customHeight="1" thickBot="1" x14ac:dyDescent="0.3">
      <c r="A63" s="26">
        <f>1+A62</f>
        <v>24</v>
      </c>
      <c r="B63" s="156"/>
      <c r="C63" s="620" t="s">
        <v>227</v>
      </c>
      <c r="D63" s="663"/>
      <c r="E63" s="621"/>
      <c r="F63" s="599"/>
      <c r="G63" s="600"/>
      <c r="H63" s="600"/>
      <c r="I63" s="614"/>
    </row>
    <row r="64" spans="1:9" s="49" customFormat="1" ht="3" customHeight="1" thickBot="1" x14ac:dyDescent="0.3">
      <c r="A64" s="32"/>
      <c r="B64" s="32"/>
      <c r="C64" s="32"/>
      <c r="D64" s="32"/>
      <c r="E64" s="32"/>
      <c r="F64" s="32"/>
      <c r="G64" s="32"/>
      <c r="H64" s="32"/>
      <c r="I64" s="28"/>
    </row>
    <row r="65" spans="1:12" ht="21" customHeight="1" x14ac:dyDescent="0.25">
      <c r="A65" s="31"/>
      <c r="B65" s="163"/>
      <c r="C65" s="587" t="str">
        <f>НазваниеКраткое</f>
        <v>Западные ворота - 2017</v>
      </c>
      <c r="D65" s="582"/>
      <c r="E65" s="582"/>
      <c r="F65" s="588"/>
      <c r="G65" s="590" t="str">
        <f ca="1">INDIRECT(ADDRESS(L67,1,,,"Общее"))</f>
        <v>ДС-5 РД Финиш</v>
      </c>
      <c r="H65" s="591"/>
      <c r="I65" s="592"/>
    </row>
    <row r="66" spans="1:12" ht="21" customHeight="1" thickBot="1" x14ac:dyDescent="0.3">
      <c r="A66" s="31"/>
      <c r="B66" s="164"/>
      <c r="C66" s="583" t="s">
        <v>11</v>
      </c>
      <c r="D66" s="583"/>
      <c r="E66" s="583"/>
      <c r="F66" s="589"/>
      <c r="G66" s="593" t="s">
        <v>187</v>
      </c>
      <c r="H66" s="594"/>
      <c r="I66" s="595"/>
    </row>
    <row r="67" spans="1:12" ht="21" customHeight="1" x14ac:dyDescent="0.25">
      <c r="A67" s="106" t="s">
        <v>12</v>
      </c>
      <c r="B67" s="597" t="str">
        <f ca="1">INDIRECT(ADDRESS(L67,14,,,"Общее"))</f>
        <v>Васильев</v>
      </c>
      <c r="C67" s="598"/>
      <c r="D67" s="107" t="s">
        <v>184</v>
      </c>
      <c r="E67" s="112" t="s">
        <v>181</v>
      </c>
      <c r="F67" s="110">
        <f ca="1">INDIRECT(ADDRESS(L67,11,,,"Общее"))</f>
        <v>0.59278414859677631</v>
      </c>
      <c r="G67" s="112" t="s">
        <v>180</v>
      </c>
      <c r="H67" s="602" t="s">
        <v>225</v>
      </c>
      <c r="I67" s="603"/>
      <c r="K67" s="17" t="s">
        <v>207</v>
      </c>
      <c r="L67" s="17">
        <v>27</v>
      </c>
    </row>
    <row r="68" spans="1:12" ht="21" customHeight="1" thickBot="1" x14ac:dyDescent="0.3">
      <c r="A68" s="108" t="s">
        <v>183</v>
      </c>
      <c r="B68" s="161"/>
      <c r="C68" s="114"/>
      <c r="D68" s="109" t="s">
        <v>185</v>
      </c>
      <c r="E68" s="113" t="s">
        <v>181</v>
      </c>
      <c r="F68" s="111">
        <f ca="1">INDIRECT(ADDRESS(L67,13,,,"Общее"))</f>
        <v>0.654609134408354</v>
      </c>
      <c r="G68" s="113" t="s">
        <v>180</v>
      </c>
      <c r="H68" s="604" t="s">
        <v>225</v>
      </c>
      <c r="I68" s="605"/>
    </row>
    <row r="69" spans="1:12" ht="50.1" customHeight="1" thickBot="1" x14ac:dyDescent="0.3">
      <c r="A69" s="628" t="s">
        <v>186</v>
      </c>
      <c r="B69" s="628"/>
      <c r="C69" s="628"/>
      <c r="D69" s="628"/>
      <c r="E69" s="628"/>
      <c r="F69" s="628"/>
      <c r="G69" s="628"/>
      <c r="H69" s="628"/>
      <c r="I69" s="628"/>
    </row>
    <row r="70" spans="1:12" ht="21" customHeight="1" x14ac:dyDescent="0.25">
      <c r="A70" s="629"/>
      <c r="B70" s="631" t="s">
        <v>0</v>
      </c>
      <c r="C70" s="633" t="s">
        <v>41</v>
      </c>
      <c r="D70" s="659"/>
      <c r="E70" s="634"/>
      <c r="F70" s="637" t="s">
        <v>90</v>
      </c>
      <c r="G70" s="638"/>
      <c r="H70" s="638"/>
      <c r="I70" s="639"/>
    </row>
    <row r="71" spans="1:12" ht="21" customHeight="1" x14ac:dyDescent="0.25">
      <c r="A71" s="630"/>
      <c r="B71" s="632"/>
      <c r="C71" s="635" t="s">
        <v>228</v>
      </c>
      <c r="D71" s="660"/>
      <c r="E71" s="636"/>
      <c r="F71" s="640"/>
      <c r="G71" s="641"/>
      <c r="H71" s="641"/>
      <c r="I71" s="642"/>
    </row>
    <row r="72" spans="1:12" ht="24" customHeight="1" x14ac:dyDescent="0.25">
      <c r="A72" s="40">
        <v>1</v>
      </c>
      <c r="B72" s="213"/>
      <c r="C72" s="618" t="s">
        <v>227</v>
      </c>
      <c r="D72" s="662"/>
      <c r="E72" s="619"/>
      <c r="F72" s="609"/>
      <c r="G72" s="610"/>
      <c r="H72" s="610"/>
      <c r="I72" s="615"/>
    </row>
    <row r="73" spans="1:12" ht="24" customHeight="1" x14ac:dyDescent="0.25">
      <c r="A73" s="34">
        <f>1+A72</f>
        <v>2</v>
      </c>
      <c r="B73" s="155"/>
      <c r="C73" s="616" t="s">
        <v>227</v>
      </c>
      <c r="D73" s="661"/>
      <c r="E73" s="617"/>
      <c r="F73" s="584"/>
      <c r="G73" s="585"/>
      <c r="H73" s="585"/>
      <c r="I73" s="613"/>
    </row>
    <row r="74" spans="1:12" ht="24" customHeight="1" x14ac:dyDescent="0.25">
      <c r="A74" s="34">
        <f t="shared" ref="A74:A94" si="2">1+A73</f>
        <v>3</v>
      </c>
      <c r="B74" s="155"/>
      <c r="C74" s="616" t="s">
        <v>227</v>
      </c>
      <c r="D74" s="661"/>
      <c r="E74" s="617"/>
      <c r="F74" s="584"/>
      <c r="G74" s="585"/>
      <c r="H74" s="585"/>
      <c r="I74" s="613"/>
    </row>
    <row r="75" spans="1:12" ht="24" customHeight="1" x14ac:dyDescent="0.25">
      <c r="A75" s="34">
        <f t="shared" si="2"/>
        <v>4</v>
      </c>
      <c r="B75" s="155"/>
      <c r="C75" s="616" t="s">
        <v>227</v>
      </c>
      <c r="D75" s="661"/>
      <c r="E75" s="617"/>
      <c r="F75" s="584"/>
      <c r="G75" s="585"/>
      <c r="H75" s="585"/>
      <c r="I75" s="613"/>
    </row>
    <row r="76" spans="1:12" ht="24" customHeight="1" x14ac:dyDescent="0.25">
      <c r="A76" s="34">
        <f t="shared" si="2"/>
        <v>5</v>
      </c>
      <c r="B76" s="155"/>
      <c r="C76" s="616" t="s">
        <v>227</v>
      </c>
      <c r="D76" s="661"/>
      <c r="E76" s="617"/>
      <c r="F76" s="584"/>
      <c r="G76" s="585"/>
      <c r="H76" s="585"/>
      <c r="I76" s="613"/>
    </row>
    <row r="77" spans="1:12" ht="24" customHeight="1" x14ac:dyDescent="0.25">
      <c r="A77" s="34">
        <f t="shared" si="2"/>
        <v>6</v>
      </c>
      <c r="B77" s="155"/>
      <c r="C77" s="616" t="s">
        <v>227</v>
      </c>
      <c r="D77" s="661"/>
      <c r="E77" s="617"/>
      <c r="F77" s="584"/>
      <c r="G77" s="585"/>
      <c r="H77" s="585"/>
      <c r="I77" s="613"/>
    </row>
    <row r="78" spans="1:12" ht="24" customHeight="1" x14ac:dyDescent="0.25">
      <c r="A78" s="34">
        <f t="shared" si="2"/>
        <v>7</v>
      </c>
      <c r="B78" s="155"/>
      <c r="C78" s="616" t="s">
        <v>227</v>
      </c>
      <c r="D78" s="661"/>
      <c r="E78" s="617"/>
      <c r="F78" s="584"/>
      <c r="G78" s="585"/>
      <c r="H78" s="585"/>
      <c r="I78" s="613"/>
    </row>
    <row r="79" spans="1:12" ht="24" customHeight="1" x14ac:dyDescent="0.25">
      <c r="A79" s="34">
        <f t="shared" si="2"/>
        <v>8</v>
      </c>
      <c r="B79" s="155"/>
      <c r="C79" s="616" t="s">
        <v>227</v>
      </c>
      <c r="D79" s="661"/>
      <c r="E79" s="617"/>
      <c r="F79" s="584"/>
      <c r="G79" s="585"/>
      <c r="H79" s="585"/>
      <c r="I79" s="613"/>
    </row>
    <row r="80" spans="1:12" ht="24" customHeight="1" x14ac:dyDescent="0.25">
      <c r="A80" s="34">
        <f t="shared" si="2"/>
        <v>9</v>
      </c>
      <c r="B80" s="155"/>
      <c r="C80" s="616" t="s">
        <v>227</v>
      </c>
      <c r="D80" s="661"/>
      <c r="E80" s="617"/>
      <c r="F80" s="584"/>
      <c r="G80" s="585"/>
      <c r="H80" s="585"/>
      <c r="I80" s="613"/>
    </row>
    <row r="81" spans="1:9" ht="24" customHeight="1" x14ac:dyDescent="0.25">
      <c r="A81" s="34">
        <f t="shared" si="2"/>
        <v>10</v>
      </c>
      <c r="B81" s="155"/>
      <c r="C81" s="616" t="s">
        <v>227</v>
      </c>
      <c r="D81" s="661"/>
      <c r="E81" s="617"/>
      <c r="F81" s="584"/>
      <c r="G81" s="585"/>
      <c r="H81" s="585"/>
      <c r="I81" s="613"/>
    </row>
    <row r="82" spans="1:9" ht="24" customHeight="1" x14ac:dyDescent="0.25">
      <c r="A82" s="34">
        <f t="shared" si="2"/>
        <v>11</v>
      </c>
      <c r="B82" s="155"/>
      <c r="C82" s="616" t="s">
        <v>227</v>
      </c>
      <c r="D82" s="661"/>
      <c r="E82" s="617"/>
      <c r="F82" s="584"/>
      <c r="G82" s="585"/>
      <c r="H82" s="585"/>
      <c r="I82" s="613"/>
    </row>
    <row r="83" spans="1:9" ht="24" customHeight="1" x14ac:dyDescent="0.25">
      <c r="A83" s="34">
        <f t="shared" si="2"/>
        <v>12</v>
      </c>
      <c r="B83" s="155"/>
      <c r="C83" s="616" t="s">
        <v>227</v>
      </c>
      <c r="D83" s="661"/>
      <c r="E83" s="617"/>
      <c r="F83" s="584"/>
      <c r="G83" s="585"/>
      <c r="H83" s="585"/>
      <c r="I83" s="613"/>
    </row>
    <row r="84" spans="1:9" ht="24" customHeight="1" x14ac:dyDescent="0.25">
      <c r="A84" s="34">
        <f t="shared" si="2"/>
        <v>13</v>
      </c>
      <c r="B84" s="155"/>
      <c r="C84" s="616" t="s">
        <v>227</v>
      </c>
      <c r="D84" s="661"/>
      <c r="E84" s="617"/>
      <c r="F84" s="584"/>
      <c r="G84" s="585"/>
      <c r="H84" s="585"/>
      <c r="I84" s="613"/>
    </row>
    <row r="85" spans="1:9" ht="24" customHeight="1" x14ac:dyDescent="0.25">
      <c r="A85" s="34">
        <f t="shared" si="2"/>
        <v>14</v>
      </c>
      <c r="B85" s="155"/>
      <c r="C85" s="616" t="s">
        <v>227</v>
      </c>
      <c r="D85" s="661"/>
      <c r="E85" s="617"/>
      <c r="F85" s="584"/>
      <c r="G85" s="585"/>
      <c r="H85" s="585"/>
      <c r="I85" s="613"/>
    </row>
    <row r="86" spans="1:9" ht="24" customHeight="1" x14ac:dyDescent="0.25">
      <c r="A86" s="34">
        <f t="shared" si="2"/>
        <v>15</v>
      </c>
      <c r="B86" s="155"/>
      <c r="C86" s="616" t="s">
        <v>227</v>
      </c>
      <c r="D86" s="661"/>
      <c r="E86" s="617"/>
      <c r="F86" s="584"/>
      <c r="G86" s="585"/>
      <c r="H86" s="585"/>
      <c r="I86" s="613"/>
    </row>
    <row r="87" spans="1:9" ht="24" customHeight="1" x14ac:dyDescent="0.25">
      <c r="A87" s="34">
        <f t="shared" si="2"/>
        <v>16</v>
      </c>
      <c r="B87" s="155"/>
      <c r="C87" s="616" t="s">
        <v>227</v>
      </c>
      <c r="D87" s="661"/>
      <c r="E87" s="617"/>
      <c r="F87" s="584"/>
      <c r="G87" s="585"/>
      <c r="H87" s="585"/>
      <c r="I87" s="613"/>
    </row>
    <row r="88" spans="1:9" ht="24" customHeight="1" x14ac:dyDescent="0.25">
      <c r="A88" s="34">
        <f t="shared" si="2"/>
        <v>17</v>
      </c>
      <c r="B88" s="155"/>
      <c r="C88" s="616" t="s">
        <v>227</v>
      </c>
      <c r="D88" s="661"/>
      <c r="E88" s="617"/>
      <c r="F88" s="584"/>
      <c r="G88" s="585"/>
      <c r="H88" s="585"/>
      <c r="I88" s="613"/>
    </row>
    <row r="89" spans="1:9" ht="24" customHeight="1" x14ac:dyDescent="0.25">
      <c r="A89" s="34">
        <f t="shared" si="2"/>
        <v>18</v>
      </c>
      <c r="B89" s="155"/>
      <c r="C89" s="616" t="s">
        <v>227</v>
      </c>
      <c r="D89" s="661"/>
      <c r="E89" s="617"/>
      <c r="F89" s="584"/>
      <c r="G89" s="585"/>
      <c r="H89" s="585"/>
      <c r="I89" s="613"/>
    </row>
    <row r="90" spans="1:9" ht="24" customHeight="1" x14ac:dyDescent="0.25">
      <c r="A90" s="34">
        <f t="shared" si="2"/>
        <v>19</v>
      </c>
      <c r="B90" s="155"/>
      <c r="C90" s="616" t="s">
        <v>227</v>
      </c>
      <c r="D90" s="661"/>
      <c r="E90" s="617"/>
      <c r="F90" s="584"/>
      <c r="G90" s="585"/>
      <c r="H90" s="585"/>
      <c r="I90" s="613"/>
    </row>
    <row r="91" spans="1:9" ht="24" customHeight="1" x14ac:dyDescent="0.25">
      <c r="A91" s="34">
        <f t="shared" si="2"/>
        <v>20</v>
      </c>
      <c r="B91" s="155"/>
      <c r="C91" s="616" t="s">
        <v>227</v>
      </c>
      <c r="D91" s="661"/>
      <c r="E91" s="617"/>
      <c r="F91" s="584"/>
      <c r="G91" s="585"/>
      <c r="H91" s="585"/>
      <c r="I91" s="613"/>
    </row>
    <row r="92" spans="1:9" ht="24" customHeight="1" x14ac:dyDescent="0.25">
      <c r="A92" s="34">
        <f t="shared" si="2"/>
        <v>21</v>
      </c>
      <c r="B92" s="155"/>
      <c r="C92" s="616" t="s">
        <v>227</v>
      </c>
      <c r="D92" s="661"/>
      <c r="E92" s="617"/>
      <c r="F92" s="584"/>
      <c r="G92" s="585"/>
      <c r="H92" s="585"/>
      <c r="I92" s="613"/>
    </row>
    <row r="93" spans="1:9" ht="24" customHeight="1" x14ac:dyDescent="0.25">
      <c r="A93" s="34">
        <f t="shared" si="2"/>
        <v>22</v>
      </c>
      <c r="B93" s="155"/>
      <c r="C93" s="616" t="s">
        <v>227</v>
      </c>
      <c r="D93" s="661"/>
      <c r="E93" s="617"/>
      <c r="F93" s="584"/>
      <c r="G93" s="585"/>
      <c r="H93" s="585"/>
      <c r="I93" s="613"/>
    </row>
    <row r="94" spans="1:9" ht="24" customHeight="1" x14ac:dyDescent="0.25">
      <c r="A94" s="34">
        <f t="shared" si="2"/>
        <v>23</v>
      </c>
      <c r="B94" s="155"/>
      <c r="C94" s="616" t="s">
        <v>227</v>
      </c>
      <c r="D94" s="661"/>
      <c r="E94" s="617"/>
      <c r="F94" s="584"/>
      <c r="G94" s="585"/>
      <c r="H94" s="585"/>
      <c r="I94" s="613"/>
    </row>
    <row r="95" spans="1:9" s="49" customFormat="1" ht="24" customHeight="1" thickBot="1" x14ac:dyDescent="0.3">
      <c r="A95" s="26">
        <f>1+A94</f>
        <v>24</v>
      </c>
      <c r="B95" s="156"/>
      <c r="C95" s="620" t="s">
        <v>227</v>
      </c>
      <c r="D95" s="663"/>
      <c r="E95" s="621"/>
      <c r="F95" s="599"/>
      <c r="G95" s="600"/>
      <c r="H95" s="600"/>
      <c r="I95" s="614"/>
    </row>
    <row r="96" spans="1:9" s="49" customFormat="1" ht="3" customHeight="1" x14ac:dyDescent="0.25">
      <c r="A96" s="32"/>
      <c r="B96" s="32"/>
      <c r="C96" s="32"/>
      <c r="D96" s="32"/>
      <c r="E96" s="32"/>
      <c r="F96" s="32"/>
      <c r="G96" s="32"/>
      <c r="H96" s="32"/>
      <c r="I96" s="28"/>
    </row>
  </sheetData>
  <mergeCells count="183">
    <mergeCell ref="C93:E93"/>
    <mergeCell ref="F93:I93"/>
    <mergeCell ref="C94:E94"/>
    <mergeCell ref="F94:I94"/>
    <mergeCell ref="C95:E95"/>
    <mergeCell ref="F95:I95"/>
    <mergeCell ref="C90:E90"/>
    <mergeCell ref="F90:I90"/>
    <mergeCell ref="C91:E91"/>
    <mergeCell ref="F91:I91"/>
    <mergeCell ref="C92:E92"/>
    <mergeCell ref="F92:I92"/>
    <mergeCell ref="C87:E87"/>
    <mergeCell ref="F87:I87"/>
    <mergeCell ref="C88:E88"/>
    <mergeCell ref="F88:I88"/>
    <mergeCell ref="C89:E89"/>
    <mergeCell ref="F89:I89"/>
    <mergeCell ref="C84:E84"/>
    <mergeCell ref="F84:I84"/>
    <mergeCell ref="C85:E85"/>
    <mergeCell ref="F85:I85"/>
    <mergeCell ref="C86:E86"/>
    <mergeCell ref="F86:I86"/>
    <mergeCell ref="C81:E81"/>
    <mergeCell ref="F81:I81"/>
    <mergeCell ref="C82:E82"/>
    <mergeCell ref="F82:I82"/>
    <mergeCell ref="C83:E83"/>
    <mergeCell ref="F83:I83"/>
    <mergeCell ref="C78:E78"/>
    <mergeCell ref="F78:I78"/>
    <mergeCell ref="C79:E79"/>
    <mergeCell ref="F79:I79"/>
    <mergeCell ref="C80:E80"/>
    <mergeCell ref="F80:I80"/>
    <mergeCell ref="C75:E75"/>
    <mergeCell ref="F75:I75"/>
    <mergeCell ref="C76:E76"/>
    <mergeCell ref="F76:I76"/>
    <mergeCell ref="C77:E77"/>
    <mergeCell ref="F77:I77"/>
    <mergeCell ref="C72:E72"/>
    <mergeCell ref="F72:I72"/>
    <mergeCell ref="C73:E73"/>
    <mergeCell ref="F73:I73"/>
    <mergeCell ref="C74:E74"/>
    <mergeCell ref="F74:I74"/>
    <mergeCell ref="H68:I68"/>
    <mergeCell ref="A69:I69"/>
    <mergeCell ref="A70:A71"/>
    <mergeCell ref="B70:B71"/>
    <mergeCell ref="C70:E70"/>
    <mergeCell ref="F70:I71"/>
    <mergeCell ref="C71:E71"/>
    <mergeCell ref="C65:F65"/>
    <mergeCell ref="G65:I65"/>
    <mergeCell ref="C66:F66"/>
    <mergeCell ref="G66:I66"/>
    <mergeCell ref="B67:C67"/>
    <mergeCell ref="H67:I67"/>
    <mergeCell ref="C61:E61"/>
    <mergeCell ref="F61:I61"/>
    <mergeCell ref="C62:E62"/>
    <mergeCell ref="F62:I62"/>
    <mergeCell ref="C63:E63"/>
    <mergeCell ref="F63:I63"/>
    <mergeCell ref="C58:E58"/>
    <mergeCell ref="F58:I58"/>
    <mergeCell ref="C59:E59"/>
    <mergeCell ref="F59:I59"/>
    <mergeCell ref="C60:E60"/>
    <mergeCell ref="F60:I60"/>
    <mergeCell ref="C55:E55"/>
    <mergeCell ref="F55:I55"/>
    <mergeCell ref="C56:E56"/>
    <mergeCell ref="F56:I56"/>
    <mergeCell ref="C57:E57"/>
    <mergeCell ref="F57:I57"/>
    <mergeCell ref="C52:E52"/>
    <mergeCell ref="F52:I52"/>
    <mergeCell ref="C53:E53"/>
    <mergeCell ref="F53:I53"/>
    <mergeCell ref="C54:E54"/>
    <mergeCell ref="F54:I54"/>
    <mergeCell ref="C49:E49"/>
    <mergeCell ref="F49:I49"/>
    <mergeCell ref="C50:E50"/>
    <mergeCell ref="F50:I50"/>
    <mergeCell ref="C51:E51"/>
    <mergeCell ref="F51:I51"/>
    <mergeCell ref="C46:E46"/>
    <mergeCell ref="F46:I46"/>
    <mergeCell ref="C47:E47"/>
    <mergeCell ref="F47:I47"/>
    <mergeCell ref="C48:E48"/>
    <mergeCell ref="F48:I48"/>
    <mergeCell ref="C44:E44"/>
    <mergeCell ref="F44:I44"/>
    <mergeCell ref="C45:E45"/>
    <mergeCell ref="F45:I45"/>
    <mergeCell ref="C40:E40"/>
    <mergeCell ref="F40:I40"/>
    <mergeCell ref="C41:E41"/>
    <mergeCell ref="F41:I41"/>
    <mergeCell ref="C42:E42"/>
    <mergeCell ref="F42:I42"/>
    <mergeCell ref="F30:I30"/>
    <mergeCell ref="F31:I31"/>
    <mergeCell ref="C24:E24"/>
    <mergeCell ref="C25:E25"/>
    <mergeCell ref="C26:E26"/>
    <mergeCell ref="C28:E28"/>
    <mergeCell ref="C29:E29"/>
    <mergeCell ref="C43:E43"/>
    <mergeCell ref="F43:I43"/>
    <mergeCell ref="A37:I37"/>
    <mergeCell ref="A38:A39"/>
    <mergeCell ref="B38:B39"/>
    <mergeCell ref="C38:E38"/>
    <mergeCell ref="F38:I39"/>
    <mergeCell ref="C39:E39"/>
    <mergeCell ref="C33:F33"/>
    <mergeCell ref="G33:I33"/>
    <mergeCell ref="C34:F34"/>
    <mergeCell ref="G34:I34"/>
    <mergeCell ref="B35:C35"/>
    <mergeCell ref="H35:I35"/>
    <mergeCell ref="H36:I36"/>
    <mergeCell ref="F29:I29"/>
    <mergeCell ref="C30:E30"/>
    <mergeCell ref="F13:I13"/>
    <mergeCell ref="F14:I14"/>
    <mergeCell ref="F26:I26"/>
    <mergeCell ref="F28:I28"/>
    <mergeCell ref="C27:E27"/>
    <mergeCell ref="F21:I21"/>
    <mergeCell ref="F22:I22"/>
    <mergeCell ref="F23:I23"/>
    <mergeCell ref="C17:E17"/>
    <mergeCell ref="C18:E18"/>
    <mergeCell ref="C19:E19"/>
    <mergeCell ref="C20:E20"/>
    <mergeCell ref="F27:I27"/>
    <mergeCell ref="F15:I15"/>
    <mergeCell ref="F16:I16"/>
    <mergeCell ref="F17:I17"/>
    <mergeCell ref="F18:I18"/>
    <mergeCell ref="F19:I19"/>
    <mergeCell ref="F20:I20"/>
    <mergeCell ref="C9:E9"/>
    <mergeCell ref="F8:I8"/>
    <mergeCell ref="F9:I9"/>
    <mergeCell ref="C10:E10"/>
    <mergeCell ref="C11:E11"/>
    <mergeCell ref="C12:E12"/>
    <mergeCell ref="F10:I10"/>
    <mergeCell ref="F11:I11"/>
    <mergeCell ref="F12:I12"/>
    <mergeCell ref="C31:E31"/>
    <mergeCell ref="C1:F1"/>
    <mergeCell ref="G1:I1"/>
    <mergeCell ref="C2:F2"/>
    <mergeCell ref="G2:I2"/>
    <mergeCell ref="A5:I5"/>
    <mergeCell ref="A6:A7"/>
    <mergeCell ref="B3:C3"/>
    <mergeCell ref="B6:B7"/>
    <mergeCell ref="C6:E6"/>
    <mergeCell ref="F6:I7"/>
    <mergeCell ref="H3:I3"/>
    <mergeCell ref="H4:I4"/>
    <mergeCell ref="C7:E7"/>
    <mergeCell ref="C21:E21"/>
    <mergeCell ref="C22:E22"/>
    <mergeCell ref="C23:E23"/>
    <mergeCell ref="F24:I24"/>
    <mergeCell ref="F25:I25"/>
    <mergeCell ref="C13:E13"/>
    <mergeCell ref="C14:E14"/>
    <mergeCell ref="C15:E15"/>
    <mergeCell ref="C16:E16"/>
    <mergeCell ref="C8:E8"/>
  </mergeCells>
  <pageMargins left="0.78740157480314965" right="0.39370078740157483" top="0.78740157480314965" bottom="0.78740157480314965" header="0" footer="0"/>
  <pageSetup paperSize="9" scale="99" orientation="portrait" horizontalDpi="300" r:id="rId1"/>
  <rowBreaks count="2" manualBreakCount="2">
    <brk id="32" max="8" man="1"/>
    <brk id="64" max="8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Q32"/>
  <sheetViews>
    <sheetView view="pageBreakPreview" zoomScaleNormal="100" zoomScaleSheetLayoutView="100" workbookViewId="0">
      <selection activeCell="G13" sqref="G13:I13"/>
    </sheetView>
  </sheetViews>
  <sheetFormatPr defaultRowHeight="15" x14ac:dyDescent="0.25"/>
  <cols>
    <col min="1" max="15" width="9.140625" style="17"/>
    <col min="16" max="16" width="22.42578125" style="17" customWidth="1"/>
    <col min="17" max="16384" width="9.140625" style="17"/>
  </cols>
  <sheetData>
    <row r="1" spans="1:17" ht="21" customHeight="1" x14ac:dyDescent="0.25">
      <c r="A1" s="163"/>
      <c r="B1" s="163"/>
      <c r="C1" s="670" t="str">
        <f>НазваниеПолное</f>
        <v>Ралли "Западные ворота - 2017"</v>
      </c>
      <c r="D1" s="670"/>
      <c r="E1" s="670"/>
      <c r="F1" s="670"/>
      <c r="G1" s="670"/>
      <c r="H1" s="670"/>
      <c r="I1" s="670"/>
      <c r="J1" s="670"/>
      <c r="K1" s="671"/>
      <c r="L1" s="590" t="str">
        <f ca="1">INDIRECT(ADDRESS(Q3,1,,,"Общее"))</f>
        <v>ДС-6 СЛ</v>
      </c>
      <c r="M1" s="591"/>
      <c r="N1" s="592"/>
    </row>
    <row r="2" spans="1:17" ht="21" customHeight="1" thickBot="1" x14ac:dyDescent="0.3">
      <c r="A2" s="164"/>
      <c r="B2" s="164"/>
      <c r="C2" s="672" t="s">
        <v>11</v>
      </c>
      <c r="D2" s="672"/>
      <c r="E2" s="672"/>
      <c r="F2" s="672"/>
      <c r="G2" s="672"/>
      <c r="H2" s="672"/>
      <c r="I2" s="672"/>
      <c r="J2" s="672"/>
      <c r="K2" s="498"/>
      <c r="L2" s="593" t="s">
        <v>187</v>
      </c>
      <c r="M2" s="594"/>
      <c r="N2" s="595"/>
    </row>
    <row r="3" spans="1:17" ht="21" customHeight="1" x14ac:dyDescent="0.25">
      <c r="A3" s="106" t="s">
        <v>12</v>
      </c>
      <c r="B3" s="682" t="str">
        <f ca="1">INDIRECT(ADDRESS(Q3,14,,,"Общее"))</f>
        <v>Борисов</v>
      </c>
      <c r="C3" s="683"/>
      <c r="D3" s="683"/>
      <c r="E3" s="683"/>
      <c r="F3" s="684"/>
      <c r="G3" s="674" t="s">
        <v>179</v>
      </c>
      <c r="H3" s="675"/>
      <c r="I3" s="676"/>
      <c r="J3" s="112" t="s">
        <v>181</v>
      </c>
      <c r="K3" s="110">
        <f ca="1">INDIRECT(ADDRESS(Q3,11,,,"Общее"))</f>
        <v>0.643042693179952</v>
      </c>
      <c r="L3" s="112" t="s">
        <v>180</v>
      </c>
      <c r="M3" s="602" t="s">
        <v>225</v>
      </c>
      <c r="N3" s="603"/>
      <c r="P3" s="162" t="s">
        <v>207</v>
      </c>
      <c r="Q3" s="162">
        <v>29</v>
      </c>
    </row>
    <row r="4" spans="1:17" ht="21" customHeight="1" thickBot="1" x14ac:dyDescent="0.3">
      <c r="A4" s="108" t="s">
        <v>183</v>
      </c>
      <c r="B4" s="161"/>
      <c r="C4" s="160"/>
      <c r="D4" s="160"/>
      <c r="E4" s="160"/>
      <c r="F4" s="114"/>
      <c r="G4" s="677" t="s">
        <v>182</v>
      </c>
      <c r="H4" s="678"/>
      <c r="I4" s="679"/>
      <c r="J4" s="113" t="s">
        <v>181</v>
      </c>
      <c r="K4" s="111">
        <f ca="1">INDIRECT(ADDRESS(Q3,13,,,"Общее"))</f>
        <v>0.69859824873550747</v>
      </c>
      <c r="L4" s="113" t="s">
        <v>180</v>
      </c>
      <c r="M4" s="604" t="s">
        <v>225</v>
      </c>
      <c r="N4" s="605"/>
    </row>
    <row r="5" spans="1:17" ht="21" customHeight="1" thickBot="1" x14ac:dyDescent="0.3">
      <c r="A5" s="673" t="s">
        <v>263</v>
      </c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</row>
    <row r="6" spans="1:17" ht="21" customHeight="1" x14ac:dyDescent="0.25">
      <c r="A6" s="680"/>
      <c r="B6" s="631" t="s">
        <v>0</v>
      </c>
      <c r="C6" s="633" t="s">
        <v>70</v>
      </c>
      <c r="D6" s="634"/>
      <c r="E6" s="633" t="s">
        <v>40</v>
      </c>
      <c r="F6" s="634"/>
      <c r="G6" s="633" t="s">
        <v>67</v>
      </c>
      <c r="H6" s="659"/>
      <c r="I6" s="634"/>
      <c r="J6" s="638" t="s">
        <v>90</v>
      </c>
      <c r="K6" s="638"/>
      <c r="L6" s="638"/>
      <c r="M6" s="638"/>
      <c r="N6" s="639"/>
    </row>
    <row r="7" spans="1:17" ht="21" customHeight="1" x14ac:dyDescent="0.25">
      <c r="A7" s="681"/>
      <c r="B7" s="632"/>
      <c r="C7" s="635" t="s">
        <v>226</v>
      </c>
      <c r="D7" s="636"/>
      <c r="E7" s="635" t="s">
        <v>226</v>
      </c>
      <c r="F7" s="636"/>
      <c r="G7" s="635" t="s">
        <v>229</v>
      </c>
      <c r="H7" s="660"/>
      <c r="I7" s="636"/>
      <c r="J7" s="641"/>
      <c r="K7" s="641"/>
      <c r="L7" s="641"/>
      <c r="M7" s="641"/>
      <c r="N7" s="642"/>
    </row>
    <row r="8" spans="1:17" ht="24" customHeight="1" x14ac:dyDescent="0.25">
      <c r="A8" s="29" t="s">
        <v>101</v>
      </c>
      <c r="B8" s="153"/>
      <c r="C8" s="654" t="s">
        <v>225</v>
      </c>
      <c r="D8" s="655"/>
      <c r="E8" s="654" t="s">
        <v>225</v>
      </c>
      <c r="F8" s="655"/>
      <c r="G8" s="618" t="s">
        <v>224</v>
      </c>
      <c r="H8" s="662"/>
      <c r="I8" s="619"/>
      <c r="J8" s="667"/>
      <c r="K8" s="668"/>
      <c r="L8" s="668"/>
      <c r="M8" s="668"/>
      <c r="N8" s="669"/>
    </row>
    <row r="9" spans="1:17" ht="24" customHeight="1" x14ac:dyDescent="0.25">
      <c r="A9" s="30" t="s">
        <v>102</v>
      </c>
      <c r="B9" s="148"/>
      <c r="C9" s="644" t="s">
        <v>225</v>
      </c>
      <c r="D9" s="645"/>
      <c r="E9" s="644" t="s">
        <v>225</v>
      </c>
      <c r="F9" s="645"/>
      <c r="G9" s="616" t="s">
        <v>224</v>
      </c>
      <c r="H9" s="661"/>
      <c r="I9" s="617"/>
      <c r="J9" s="664"/>
      <c r="K9" s="665"/>
      <c r="L9" s="665"/>
      <c r="M9" s="665"/>
      <c r="N9" s="666"/>
    </row>
    <row r="10" spans="1:17" ht="24" customHeight="1" x14ac:dyDescent="0.25">
      <c r="A10" s="30" t="s">
        <v>103</v>
      </c>
      <c r="B10" s="148"/>
      <c r="C10" s="644" t="s">
        <v>225</v>
      </c>
      <c r="D10" s="645"/>
      <c r="E10" s="644" t="s">
        <v>225</v>
      </c>
      <c r="F10" s="645"/>
      <c r="G10" s="616" t="s">
        <v>224</v>
      </c>
      <c r="H10" s="661"/>
      <c r="I10" s="617"/>
      <c r="J10" s="664"/>
      <c r="K10" s="665"/>
      <c r="L10" s="665"/>
      <c r="M10" s="665"/>
      <c r="N10" s="666"/>
    </row>
    <row r="11" spans="1:17" ht="24" customHeight="1" x14ac:dyDescent="0.25">
      <c r="A11" s="30" t="s">
        <v>104</v>
      </c>
      <c r="B11" s="148"/>
      <c r="C11" s="644" t="s">
        <v>225</v>
      </c>
      <c r="D11" s="645"/>
      <c r="E11" s="644" t="s">
        <v>225</v>
      </c>
      <c r="F11" s="645"/>
      <c r="G11" s="616" t="s">
        <v>224</v>
      </c>
      <c r="H11" s="661"/>
      <c r="I11" s="617"/>
      <c r="J11" s="664"/>
      <c r="K11" s="665"/>
      <c r="L11" s="665"/>
      <c r="M11" s="665"/>
      <c r="N11" s="666"/>
    </row>
    <row r="12" spans="1:17" ht="24" customHeight="1" x14ac:dyDescent="0.25">
      <c r="A12" s="30" t="s">
        <v>105</v>
      </c>
      <c r="B12" s="148"/>
      <c r="C12" s="644" t="s">
        <v>225</v>
      </c>
      <c r="D12" s="645"/>
      <c r="E12" s="644" t="s">
        <v>225</v>
      </c>
      <c r="F12" s="645"/>
      <c r="G12" s="616" t="s">
        <v>224</v>
      </c>
      <c r="H12" s="661"/>
      <c r="I12" s="617"/>
      <c r="J12" s="664"/>
      <c r="K12" s="665"/>
      <c r="L12" s="665"/>
      <c r="M12" s="665"/>
      <c r="N12" s="666"/>
    </row>
    <row r="13" spans="1:17" ht="24" customHeight="1" x14ac:dyDescent="0.25">
      <c r="A13" s="30" t="s">
        <v>106</v>
      </c>
      <c r="B13" s="148"/>
      <c r="C13" s="644" t="s">
        <v>225</v>
      </c>
      <c r="D13" s="645"/>
      <c r="E13" s="644" t="s">
        <v>225</v>
      </c>
      <c r="F13" s="645"/>
      <c r="G13" s="616" t="s">
        <v>224</v>
      </c>
      <c r="H13" s="661"/>
      <c r="I13" s="617"/>
      <c r="J13" s="664"/>
      <c r="K13" s="665"/>
      <c r="L13" s="665"/>
      <c r="M13" s="665"/>
      <c r="N13" s="666"/>
    </row>
    <row r="14" spans="1:17" ht="24" customHeight="1" x14ac:dyDescent="0.25">
      <c r="A14" s="30" t="s">
        <v>107</v>
      </c>
      <c r="B14" s="148"/>
      <c r="C14" s="644" t="s">
        <v>225</v>
      </c>
      <c r="D14" s="645"/>
      <c r="E14" s="644" t="s">
        <v>225</v>
      </c>
      <c r="F14" s="645"/>
      <c r="G14" s="616" t="s">
        <v>224</v>
      </c>
      <c r="H14" s="661"/>
      <c r="I14" s="617"/>
      <c r="J14" s="664"/>
      <c r="K14" s="665"/>
      <c r="L14" s="665"/>
      <c r="M14" s="665"/>
      <c r="N14" s="666"/>
    </row>
    <row r="15" spans="1:17" ht="24" customHeight="1" x14ac:dyDescent="0.25">
      <c r="A15" s="30" t="s">
        <v>108</v>
      </c>
      <c r="B15" s="148"/>
      <c r="C15" s="644" t="s">
        <v>225</v>
      </c>
      <c r="D15" s="645"/>
      <c r="E15" s="644" t="s">
        <v>225</v>
      </c>
      <c r="F15" s="645"/>
      <c r="G15" s="616" t="s">
        <v>224</v>
      </c>
      <c r="H15" s="661"/>
      <c r="I15" s="617"/>
      <c r="J15" s="664"/>
      <c r="K15" s="665"/>
      <c r="L15" s="665"/>
      <c r="M15" s="665"/>
      <c r="N15" s="666"/>
    </row>
    <row r="16" spans="1:17" ht="24" customHeight="1" x14ac:dyDescent="0.25">
      <c r="A16" s="30" t="s">
        <v>109</v>
      </c>
      <c r="B16" s="148"/>
      <c r="C16" s="644" t="s">
        <v>225</v>
      </c>
      <c r="D16" s="645"/>
      <c r="E16" s="644" t="s">
        <v>225</v>
      </c>
      <c r="F16" s="645"/>
      <c r="G16" s="616" t="s">
        <v>224</v>
      </c>
      <c r="H16" s="661"/>
      <c r="I16" s="617"/>
      <c r="J16" s="664"/>
      <c r="K16" s="665"/>
      <c r="L16" s="665"/>
      <c r="M16" s="665"/>
      <c r="N16" s="666"/>
    </row>
    <row r="17" spans="1:17" ht="24" customHeight="1" x14ac:dyDescent="0.25">
      <c r="A17" s="30" t="s">
        <v>110</v>
      </c>
      <c r="B17" s="148"/>
      <c r="C17" s="644" t="s">
        <v>225</v>
      </c>
      <c r="D17" s="645"/>
      <c r="E17" s="644" t="s">
        <v>225</v>
      </c>
      <c r="F17" s="645"/>
      <c r="G17" s="616" t="s">
        <v>224</v>
      </c>
      <c r="H17" s="661"/>
      <c r="I17" s="617"/>
      <c r="J17" s="664"/>
      <c r="K17" s="665"/>
      <c r="L17" s="665"/>
      <c r="M17" s="665"/>
      <c r="N17" s="666"/>
    </row>
    <row r="18" spans="1:17" ht="24" customHeight="1" x14ac:dyDescent="0.25">
      <c r="A18" s="30" t="s">
        <v>47</v>
      </c>
      <c r="B18" s="148"/>
      <c r="C18" s="644" t="s">
        <v>225</v>
      </c>
      <c r="D18" s="645"/>
      <c r="E18" s="644" t="s">
        <v>225</v>
      </c>
      <c r="F18" s="645"/>
      <c r="G18" s="616" t="s">
        <v>224</v>
      </c>
      <c r="H18" s="661"/>
      <c r="I18" s="617"/>
      <c r="J18" s="664"/>
      <c r="K18" s="665"/>
      <c r="L18" s="665"/>
      <c r="M18" s="665"/>
      <c r="N18" s="666"/>
    </row>
    <row r="19" spans="1:17" ht="24" customHeight="1" x14ac:dyDescent="0.25">
      <c r="A19" s="30" t="s">
        <v>111</v>
      </c>
      <c r="B19" s="148"/>
      <c r="C19" s="644" t="s">
        <v>225</v>
      </c>
      <c r="D19" s="645"/>
      <c r="E19" s="644" t="s">
        <v>225</v>
      </c>
      <c r="F19" s="645"/>
      <c r="G19" s="616" t="s">
        <v>224</v>
      </c>
      <c r="H19" s="661"/>
      <c r="I19" s="617"/>
      <c r="J19" s="664"/>
      <c r="K19" s="665"/>
      <c r="L19" s="665"/>
      <c r="M19" s="665"/>
      <c r="N19" s="666"/>
    </row>
    <row r="20" spans="1:17" ht="24" customHeight="1" x14ac:dyDescent="0.25">
      <c r="A20" s="30" t="s">
        <v>43</v>
      </c>
      <c r="B20" s="148"/>
      <c r="C20" s="644" t="s">
        <v>225</v>
      </c>
      <c r="D20" s="645"/>
      <c r="E20" s="644" t="s">
        <v>225</v>
      </c>
      <c r="F20" s="645"/>
      <c r="G20" s="616" t="s">
        <v>224</v>
      </c>
      <c r="H20" s="661"/>
      <c r="I20" s="617"/>
      <c r="J20" s="664"/>
      <c r="K20" s="665"/>
      <c r="L20" s="665"/>
      <c r="M20" s="665"/>
      <c r="N20" s="666"/>
    </row>
    <row r="21" spans="1:17" ht="24" customHeight="1" thickBot="1" x14ac:dyDescent="0.3">
      <c r="A21" s="27" t="s">
        <v>112</v>
      </c>
      <c r="B21" s="149"/>
      <c r="C21" s="649" t="s">
        <v>225</v>
      </c>
      <c r="D21" s="650"/>
      <c r="E21" s="649" t="s">
        <v>225</v>
      </c>
      <c r="F21" s="650"/>
      <c r="G21" s="620" t="s">
        <v>224</v>
      </c>
      <c r="H21" s="663"/>
      <c r="I21" s="621"/>
      <c r="J21" s="685"/>
      <c r="K21" s="686"/>
      <c r="L21" s="686"/>
      <c r="M21" s="686"/>
      <c r="N21" s="687"/>
    </row>
    <row r="22" spans="1:17" ht="5.0999999999999996" customHeight="1" x14ac:dyDescent="0.25">
      <c r="A22" s="24"/>
      <c r="B22" s="25"/>
      <c r="C22" s="25"/>
      <c r="D22" s="23"/>
      <c r="E22" s="23"/>
      <c r="F22" s="23"/>
      <c r="G22" s="23"/>
      <c r="H22" s="23"/>
      <c r="I22" s="23"/>
      <c r="J22" s="25"/>
      <c r="K22" s="25"/>
      <c r="L22" s="25"/>
      <c r="M22" s="25"/>
      <c r="N22" s="23"/>
    </row>
    <row r="31" spans="1:17" x14ac:dyDescent="0.25">
      <c r="P31" s="49"/>
      <c r="Q31" s="49"/>
    </row>
    <row r="32" spans="1:17" x14ac:dyDescent="0.25">
      <c r="P32" s="49"/>
      <c r="Q32" s="49"/>
    </row>
  </sheetData>
  <mergeCells count="75">
    <mergeCell ref="C20:D20"/>
    <mergeCell ref="C21:D21"/>
    <mergeCell ref="E8:F8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C7:D7"/>
    <mergeCell ref="E7:F7"/>
    <mergeCell ref="G7:I7"/>
    <mergeCell ref="C8:D8"/>
    <mergeCell ref="C9:D9"/>
    <mergeCell ref="G18:I18"/>
    <mergeCell ref="G19:I19"/>
    <mergeCell ref="G20:I20"/>
    <mergeCell ref="G21:I21"/>
    <mergeCell ref="M3:N3"/>
    <mergeCell ref="M4:N4"/>
    <mergeCell ref="G13:I13"/>
    <mergeCell ref="G14:I14"/>
    <mergeCell ref="G15:I15"/>
    <mergeCell ref="G16:I16"/>
    <mergeCell ref="G17:I17"/>
    <mergeCell ref="G10:I10"/>
    <mergeCell ref="G11:I11"/>
    <mergeCell ref="G12:I12"/>
    <mergeCell ref="J20:N20"/>
    <mergeCell ref="J21:N21"/>
    <mergeCell ref="E6:F6"/>
    <mergeCell ref="G6:I6"/>
    <mergeCell ref="J6:N7"/>
    <mergeCell ref="G8:I8"/>
    <mergeCell ref="G9:I9"/>
    <mergeCell ref="C18:D18"/>
    <mergeCell ref="C19:D19"/>
    <mergeCell ref="L1:N1"/>
    <mergeCell ref="L2:N2"/>
    <mergeCell ref="C1:K1"/>
    <mergeCell ref="C2:K2"/>
    <mergeCell ref="A5:N5"/>
    <mergeCell ref="G3:I3"/>
    <mergeCell ref="G4:I4"/>
    <mergeCell ref="A6:A7"/>
    <mergeCell ref="B3:F3"/>
    <mergeCell ref="B6:B7"/>
    <mergeCell ref="C6:D6"/>
    <mergeCell ref="J13:N13"/>
    <mergeCell ref="J14:N14"/>
    <mergeCell ref="J15:N15"/>
    <mergeCell ref="J18:N18"/>
    <mergeCell ref="J19:N19"/>
    <mergeCell ref="J8:N8"/>
    <mergeCell ref="J9:N9"/>
    <mergeCell ref="J10:N10"/>
    <mergeCell ref="J11:N11"/>
    <mergeCell ref="J12:N12"/>
    <mergeCell ref="C10:D10"/>
    <mergeCell ref="C11:D11"/>
    <mergeCell ref="C12:D12"/>
    <mergeCell ref="J16:N16"/>
    <mergeCell ref="J17:N17"/>
    <mergeCell ref="C13:D13"/>
    <mergeCell ref="C14:D14"/>
    <mergeCell ref="C15:D15"/>
    <mergeCell ref="C16:D16"/>
    <mergeCell ref="C17:D17"/>
  </mergeCells>
  <pageMargins left="0.78740157480314965" right="0.39370078740157483" top="0.78740157480314965" bottom="0.78740157480314965" header="0" footer="0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  <pageSetUpPr fitToPage="1"/>
  </sheetPr>
  <dimension ref="A1:AE55"/>
  <sheetViews>
    <sheetView topLeftCell="A10" workbookViewId="0">
      <selection activeCell="N21" sqref="N21"/>
    </sheetView>
  </sheetViews>
  <sheetFormatPr defaultRowHeight="15" x14ac:dyDescent="0.25"/>
  <cols>
    <col min="1" max="1" width="28.28515625" customWidth="1"/>
    <col min="3" max="4" width="9.140625" style="15"/>
    <col min="6" max="13" width="9.140625" style="15"/>
    <col min="14" max="15" width="27.140625" style="15" customWidth="1"/>
    <col min="16" max="18" width="9.140625" style="117"/>
  </cols>
  <sheetData>
    <row r="1" spans="1:31" x14ac:dyDescent="0.25">
      <c r="A1" t="s">
        <v>93</v>
      </c>
      <c r="B1" s="119" t="s">
        <v>269</v>
      </c>
      <c r="C1" s="120"/>
      <c r="D1" s="120"/>
      <c r="E1" s="117"/>
      <c r="F1" s="117"/>
      <c r="G1" s="117"/>
      <c r="H1" s="117"/>
      <c r="I1" s="117"/>
    </row>
    <row r="2" spans="1:31" x14ac:dyDescent="0.25">
      <c r="A2" t="s">
        <v>94</v>
      </c>
      <c r="B2" s="119" t="s">
        <v>270</v>
      </c>
      <c r="C2" s="120"/>
      <c r="D2" s="120"/>
      <c r="E2" s="117"/>
      <c r="F2" s="117"/>
      <c r="G2" s="117"/>
      <c r="H2" s="117"/>
      <c r="I2" s="117"/>
    </row>
    <row r="3" spans="1:31" x14ac:dyDescent="0.25">
      <c r="A3" t="s">
        <v>95</v>
      </c>
      <c r="B3" s="119" t="s">
        <v>293</v>
      </c>
      <c r="C3" s="120"/>
      <c r="D3" s="120"/>
      <c r="E3" s="117"/>
      <c r="F3" s="117"/>
      <c r="G3" s="117"/>
      <c r="H3" s="117"/>
      <c r="I3" s="117"/>
    </row>
    <row r="4" spans="1:31" x14ac:dyDescent="0.25">
      <c r="A4" s="15" t="s">
        <v>150</v>
      </c>
      <c r="B4" s="120">
        <v>40</v>
      </c>
      <c r="C4" s="120"/>
      <c r="D4" s="120"/>
      <c r="E4" s="117"/>
      <c r="F4" s="117"/>
      <c r="G4" s="117"/>
      <c r="H4" s="117"/>
      <c r="I4" s="117"/>
    </row>
    <row r="5" spans="1:31" x14ac:dyDescent="0.25">
      <c r="A5" s="15" t="s">
        <v>196</v>
      </c>
      <c r="B5" s="120">
        <v>15</v>
      </c>
      <c r="C5" s="120"/>
      <c r="D5" s="120"/>
      <c r="E5" s="117"/>
      <c r="F5" s="117"/>
      <c r="G5" s="117"/>
      <c r="H5" s="117"/>
      <c r="I5" s="117"/>
    </row>
    <row r="6" spans="1:31" x14ac:dyDescent="0.25">
      <c r="A6" s="15" t="s">
        <v>197</v>
      </c>
      <c r="B6" s="120">
        <v>25</v>
      </c>
      <c r="C6" s="120"/>
      <c r="D6" s="120"/>
      <c r="E6" s="117"/>
      <c r="F6" s="117"/>
      <c r="G6" s="117"/>
      <c r="H6" s="117"/>
      <c r="I6" s="117"/>
    </row>
    <row r="7" spans="1:31" s="15" customFormat="1" x14ac:dyDescent="0.25">
      <c r="A7" s="15" t="s">
        <v>91</v>
      </c>
      <c r="B7" s="118">
        <v>0.41736111111111113</v>
      </c>
      <c r="C7" s="120"/>
      <c r="D7" s="120"/>
      <c r="E7" s="117"/>
      <c r="F7" s="117"/>
      <c r="G7" s="117"/>
      <c r="H7" s="117"/>
      <c r="I7" s="117"/>
      <c r="Q7" s="117"/>
      <c r="R7" s="117"/>
    </row>
    <row r="8" spans="1:31" s="15" customFormat="1" x14ac:dyDescent="0.25">
      <c r="P8" s="117"/>
      <c r="Q8" s="117"/>
      <c r="R8" s="117"/>
    </row>
    <row r="9" spans="1:31" s="15" customFormat="1" ht="32.25" customHeight="1" x14ac:dyDescent="0.25">
      <c r="A9" s="327" t="s">
        <v>191</v>
      </c>
      <c r="B9" s="691" t="s">
        <v>120</v>
      </c>
      <c r="C9" s="692"/>
      <c r="D9" s="688" t="s">
        <v>194</v>
      </c>
      <c r="E9" s="689"/>
      <c r="F9" s="689"/>
      <c r="G9" s="689"/>
      <c r="H9" s="690"/>
      <c r="I9" s="693" t="s">
        <v>200</v>
      </c>
      <c r="J9" s="694"/>
      <c r="K9" s="688" t="s">
        <v>195</v>
      </c>
      <c r="L9" s="689"/>
      <c r="M9" s="689"/>
      <c r="N9" s="689"/>
      <c r="O9" s="690"/>
    </row>
    <row r="10" spans="1:31" ht="165" x14ac:dyDescent="0.25">
      <c r="A10" s="328" t="s">
        <v>203</v>
      </c>
      <c r="B10" s="333" t="s">
        <v>202</v>
      </c>
      <c r="C10" s="334" t="s">
        <v>201</v>
      </c>
      <c r="D10" s="352" t="s">
        <v>189</v>
      </c>
      <c r="E10" s="353" t="s">
        <v>193</v>
      </c>
      <c r="F10" s="353" t="s">
        <v>205</v>
      </c>
      <c r="G10" s="353" t="s">
        <v>198</v>
      </c>
      <c r="H10" s="354" t="s">
        <v>199</v>
      </c>
      <c r="I10" s="352" t="s">
        <v>218</v>
      </c>
      <c r="J10" s="354" t="s">
        <v>126</v>
      </c>
      <c r="K10" s="352" t="s">
        <v>89</v>
      </c>
      <c r="L10" s="353" t="s">
        <v>126</v>
      </c>
      <c r="M10" s="353" t="s">
        <v>88</v>
      </c>
      <c r="N10" s="353" t="s">
        <v>192</v>
      </c>
      <c r="O10" s="354" t="s">
        <v>353</v>
      </c>
    </row>
    <row r="11" spans="1:31" s="15" customFormat="1" x14ac:dyDescent="0.25">
      <c r="A11" s="329" t="s">
        <v>209</v>
      </c>
      <c r="B11" s="335"/>
      <c r="C11" s="336">
        <v>0</v>
      </c>
      <c r="D11" s="355"/>
      <c r="E11" s="356"/>
      <c r="F11" s="356"/>
      <c r="G11" s="357">
        <v>0</v>
      </c>
      <c r="H11" s="358">
        <f>ВремяСтарта</f>
        <v>0.41736111111111113</v>
      </c>
      <c r="I11" s="359"/>
      <c r="J11" s="358" t="str">
        <f t="shared" ref="J11:J29" si="0">IF(NOT(ISBLANK(I11)),H10+I11/86400,"")</f>
        <v/>
      </c>
      <c r="K11" s="360">
        <f>L11-120/1440</f>
        <v>0.33402777777777781</v>
      </c>
      <c r="L11" s="129">
        <f t="shared" ref="L11:L13" si="1">IF(ISBLANK(I11),H11,J11)</f>
        <v>0.41736111111111113</v>
      </c>
      <c r="M11" s="361">
        <f>L11+(ЧислоЭкипажей+C11)/1440</f>
        <v>0.44513888888888892</v>
      </c>
      <c r="N11" s="362"/>
      <c r="O11" s="363"/>
    </row>
    <row r="12" spans="1:31" s="15" customFormat="1" x14ac:dyDescent="0.25">
      <c r="A12" s="330" t="str">
        <f>ТИ0</f>
        <v>ТИ-0</v>
      </c>
      <c r="B12" s="337"/>
      <c r="C12" s="336">
        <f t="shared" ref="C12:C29" si="2">C11+B12</f>
        <v>0</v>
      </c>
      <c r="D12" s="364">
        <v>0</v>
      </c>
      <c r="E12" s="140">
        <f t="shared" ref="E12:E28" si="3">D12-D11</f>
        <v>0</v>
      </c>
      <c r="F12" s="143">
        <f t="shared" ref="F12:F33" si="4">КВ1Скорость</f>
        <v>49.82</v>
      </c>
      <c r="G12" s="141">
        <f t="shared" ref="G12:G28" si="5">E12/F12*60</f>
        <v>0</v>
      </c>
      <c r="H12" s="365">
        <f t="shared" ref="H12:H29" si="6">H11+G12/1440</f>
        <v>0.41736111111111113</v>
      </c>
      <c r="I12" s="366"/>
      <c r="J12" s="365" t="str">
        <f t="shared" si="0"/>
        <v/>
      </c>
      <c r="K12" s="367">
        <f>L12-120/1440</f>
        <v>0.33402777777777781</v>
      </c>
      <c r="L12" s="129">
        <f t="shared" si="1"/>
        <v>0.41736111111111113</v>
      </c>
      <c r="M12" s="142">
        <f>L12-30/1440</f>
        <v>0.39652777777777781</v>
      </c>
      <c r="N12" s="93" t="s">
        <v>208</v>
      </c>
      <c r="O12" s="368" t="s">
        <v>354</v>
      </c>
      <c r="P12" s="117"/>
      <c r="Q12" s="254" t="s">
        <v>204</v>
      </c>
      <c r="S12" s="254" t="s">
        <v>208</v>
      </c>
      <c r="U12" s="254" t="s">
        <v>282</v>
      </c>
      <c r="W12" s="254" t="s">
        <v>217</v>
      </c>
      <c r="Y12" s="254" t="s">
        <v>210</v>
      </c>
      <c r="Z12" s="117"/>
      <c r="AA12" s="254" t="s">
        <v>311</v>
      </c>
      <c r="AC12" s="254" t="s">
        <v>388</v>
      </c>
      <c r="AE12" s="254" t="s">
        <v>382</v>
      </c>
    </row>
    <row r="13" spans="1:31" x14ac:dyDescent="0.25">
      <c r="A13" s="330" t="str">
        <f>КВ0&amp;" / "&amp;ДС1&amp;" Старт"</f>
        <v>КВ-0 Старт / ДС-1 РД Старт</v>
      </c>
      <c r="B13" s="337"/>
      <c r="C13" s="336">
        <f t="shared" si="2"/>
        <v>0</v>
      </c>
      <c r="D13" s="364">
        <v>0</v>
      </c>
      <c r="E13" s="140">
        <f t="shared" si="3"/>
        <v>0</v>
      </c>
      <c r="F13" s="143">
        <f t="shared" si="4"/>
        <v>49.82</v>
      </c>
      <c r="G13" s="141">
        <f t="shared" si="5"/>
        <v>0</v>
      </c>
      <c r="H13" s="365">
        <f t="shared" si="6"/>
        <v>0.41736111111111113</v>
      </c>
      <c r="I13" s="366"/>
      <c r="J13" s="365" t="str">
        <f t="shared" si="0"/>
        <v/>
      </c>
      <c r="K13" s="367">
        <f>L13-1/1440</f>
        <v>0.41666666666666669</v>
      </c>
      <c r="L13" s="129">
        <f t="shared" si="1"/>
        <v>0.41736111111111113</v>
      </c>
      <c r="M13" s="142">
        <f>L13+(ЧислоЭкипажей+C13)/1440</f>
        <v>0.44513888888888892</v>
      </c>
      <c r="N13" s="93" t="s">
        <v>208</v>
      </c>
      <c r="O13" s="368" t="s">
        <v>389</v>
      </c>
      <c r="Q13" s="254" t="s">
        <v>354</v>
      </c>
      <c r="R13" s="15"/>
      <c r="S13" s="254" t="s">
        <v>364</v>
      </c>
      <c r="T13" s="15"/>
      <c r="U13" s="254" t="s">
        <v>358</v>
      </c>
      <c r="W13" s="254" t="s">
        <v>357</v>
      </c>
      <c r="Y13" s="254" t="s">
        <v>364</v>
      </c>
      <c r="Z13" s="15"/>
      <c r="AA13" s="254" t="s">
        <v>357</v>
      </c>
      <c r="AC13" s="254" t="s">
        <v>356</v>
      </c>
      <c r="AE13" s="254" t="s">
        <v>357</v>
      </c>
    </row>
    <row r="14" spans="1:31" s="15" customFormat="1" ht="15.75" thickBot="1" x14ac:dyDescent="0.3">
      <c r="A14" s="330" t="str">
        <f>ДС1&amp;" Финиш"</f>
        <v>ДС-1 РД Финиш</v>
      </c>
      <c r="B14" s="337"/>
      <c r="C14" s="336">
        <f>C33+B14</f>
        <v>0</v>
      </c>
      <c r="D14" s="364">
        <v>38.07</v>
      </c>
      <c r="E14" s="140">
        <f t="shared" si="3"/>
        <v>38.07</v>
      </c>
      <c r="F14" s="143">
        <f t="shared" si="4"/>
        <v>49.82</v>
      </c>
      <c r="G14" s="141">
        <f t="shared" si="5"/>
        <v>45.84905660377359</v>
      </c>
      <c r="H14" s="365">
        <f t="shared" si="6"/>
        <v>0.4492007337526206</v>
      </c>
      <c r="I14" s="366">
        <f>ДС1Время</f>
        <v>2503</v>
      </c>
      <c r="J14" s="365">
        <f t="shared" si="0"/>
        <v>0.44633101851851853</v>
      </c>
      <c r="K14" s="259">
        <f>MIN(H14,J14)-ВремяОткрытияПостов/1440</f>
        <v>0.43591435185185184</v>
      </c>
      <c r="L14" s="129">
        <f>IF(ISBLANK(I14),H14,J14)</f>
        <v>0.44633101851851853</v>
      </c>
      <c r="M14" s="129">
        <f>MAX(H14,J14)+(ЧислоЭкипажей+ВремяЗакрытияПостов+C14)/1440+C14</f>
        <v>0.49433962264150949</v>
      </c>
      <c r="N14" s="93" t="s">
        <v>382</v>
      </c>
      <c r="O14" s="368" t="s">
        <v>357</v>
      </c>
      <c r="P14" s="117"/>
      <c r="Q14" s="254" t="s">
        <v>358</v>
      </c>
      <c r="S14" s="254" t="s">
        <v>359</v>
      </c>
      <c r="U14" s="254"/>
      <c r="W14"/>
      <c r="X14"/>
      <c r="Y14" s="254" t="s">
        <v>359</v>
      </c>
      <c r="Z14" s="117"/>
      <c r="AA14"/>
      <c r="AB14"/>
      <c r="AC14"/>
      <c r="AD14"/>
      <c r="AE14"/>
    </row>
    <row r="15" spans="1:31" s="15" customFormat="1" ht="15.75" thickBot="1" x14ac:dyDescent="0.3">
      <c r="A15" s="330" t="str">
        <f>ДС2&amp;" Старт"</f>
        <v>ДС-2 РУ Старт</v>
      </c>
      <c r="B15" s="337"/>
      <c r="C15" s="336">
        <f t="shared" si="2"/>
        <v>0</v>
      </c>
      <c r="D15" s="364">
        <f>'КВ0-КВ1 Про'!B31</f>
        <v>71.59</v>
      </c>
      <c r="E15" s="140">
        <f t="shared" si="3"/>
        <v>33.520000000000003</v>
      </c>
      <c r="F15" s="143">
        <f t="shared" si="4"/>
        <v>49.82</v>
      </c>
      <c r="G15" s="141">
        <f t="shared" si="5"/>
        <v>40.369329586511448</v>
      </c>
      <c r="H15" s="365">
        <f t="shared" si="6"/>
        <v>0.47723499040992023</v>
      </c>
      <c r="I15" s="366"/>
      <c r="J15" s="365" t="str">
        <f t="shared" si="0"/>
        <v/>
      </c>
      <c r="K15" s="259">
        <f>MIN(H15,J15)-ВремяОткрытияПостов/1440</f>
        <v>0.46681832374325355</v>
      </c>
      <c r="L15" s="129">
        <f t="shared" ref="L15:L29" si="7">IF(ISBLANK(I15),H15,J15)</f>
        <v>0.47723499040992023</v>
      </c>
      <c r="M15" s="129">
        <f>MAX(H15,J15)+(ЧислоЭкипажей+ВремяЗакрытияПостов+C15)/1440+C15</f>
        <v>0.52237387929880907</v>
      </c>
      <c r="N15" s="93" t="s">
        <v>282</v>
      </c>
      <c r="O15" s="368" t="s">
        <v>358</v>
      </c>
      <c r="P15" s="117"/>
      <c r="Q15" s="254" t="s">
        <v>357</v>
      </c>
      <c r="S15" s="254" t="s">
        <v>358</v>
      </c>
      <c r="U15" s="254"/>
      <c r="Y15" s="255" t="s">
        <v>358</v>
      </c>
      <c r="Z15" s="15" t="s">
        <v>365</v>
      </c>
    </row>
    <row r="16" spans="1:31" ht="15.75" thickBot="1" x14ac:dyDescent="0.3">
      <c r="A16" s="330" t="str">
        <f>ДС2&amp;" Финиш"</f>
        <v>ДС-2 РУ Финиш</v>
      </c>
      <c r="B16" s="337"/>
      <c r="C16" s="336">
        <f t="shared" si="2"/>
        <v>0</v>
      </c>
      <c r="D16" s="364">
        <f>'КВ0-КВ1 Про'!B53</f>
        <v>80.650000000000006</v>
      </c>
      <c r="E16" s="140">
        <f t="shared" si="3"/>
        <v>9.0600000000000023</v>
      </c>
      <c r="F16" s="143">
        <f t="shared" si="4"/>
        <v>49.82</v>
      </c>
      <c r="G16" s="141">
        <f t="shared" si="5"/>
        <v>10.911280610196711</v>
      </c>
      <c r="H16" s="365">
        <f t="shared" si="6"/>
        <v>0.48481226861144572</v>
      </c>
      <c r="I16" s="366">
        <f>ДС2Время</f>
        <v>570</v>
      </c>
      <c r="J16" s="365">
        <f t="shared" si="0"/>
        <v>0.48383221263214243</v>
      </c>
      <c r="K16" s="259">
        <f>MIN(H16,J16)-ВремяОткрытияПостов/1440</f>
        <v>0.47341554596547575</v>
      </c>
      <c r="L16" s="129">
        <f t="shared" si="7"/>
        <v>0.48383221263214243</v>
      </c>
      <c r="M16" s="129">
        <f>MAX(H16,J16)+(ЧислоЭкипажей+ВремяЗакрытияПостов+C16)/1440+C16</f>
        <v>0.52995115750033461</v>
      </c>
      <c r="N16" s="93" t="s">
        <v>217</v>
      </c>
      <c r="O16" s="368" t="s">
        <v>357</v>
      </c>
      <c r="Q16" s="15"/>
      <c r="R16" s="15"/>
      <c r="S16" s="255" t="s">
        <v>357</v>
      </c>
      <c r="T16" s="15" t="s">
        <v>363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</row>
    <row r="17" spans="1:31" x14ac:dyDescent="0.25">
      <c r="A17" s="330" t="str">
        <f>КВ1</f>
        <v>КВ-1 Борщевик</v>
      </c>
      <c r="B17" s="337"/>
      <c r="C17" s="336">
        <f t="shared" si="2"/>
        <v>0</v>
      </c>
      <c r="D17" s="364">
        <f>КВ1Расстояние</f>
        <v>87.18</v>
      </c>
      <c r="E17" s="140">
        <f t="shared" si="3"/>
        <v>6.5300000000000011</v>
      </c>
      <c r="F17" s="143">
        <f t="shared" si="4"/>
        <v>49.82</v>
      </c>
      <c r="G17" s="141">
        <f t="shared" si="5"/>
        <v>7.8643115214773189</v>
      </c>
      <c r="H17" s="365">
        <f t="shared" si="6"/>
        <v>0.49027359605691606</v>
      </c>
      <c r="I17" s="366"/>
      <c r="J17" s="365" t="str">
        <f t="shared" si="0"/>
        <v/>
      </c>
      <c r="K17" s="259">
        <f>MIN(H17,J17)-ВремяОткрытияПостов/1440</f>
        <v>0.47985692939024938</v>
      </c>
      <c r="L17" s="129">
        <f t="shared" si="7"/>
        <v>0.49027359605691606</v>
      </c>
      <c r="M17" s="129">
        <f>MAX(H17,J17)+(ЧислоЭкипажей+ВремяЗакрытияПостов+C17)/1440+C17</f>
        <v>0.53541248494580496</v>
      </c>
      <c r="N17" s="252" t="s">
        <v>281</v>
      </c>
      <c r="O17" s="379"/>
    </row>
    <row r="18" spans="1:31" s="15" customFormat="1" x14ac:dyDescent="0.25">
      <c r="A18" s="332" t="s">
        <v>280</v>
      </c>
      <c r="B18" s="335"/>
      <c r="C18" s="336">
        <f t="shared" si="2"/>
        <v>0</v>
      </c>
      <c r="D18" s="340"/>
      <c r="E18" s="340"/>
      <c r="F18" s="186"/>
      <c r="G18" s="186"/>
      <c r="H18" s="365">
        <f t="shared" si="6"/>
        <v>0.49027359605691606</v>
      </c>
      <c r="I18" s="342"/>
      <c r="J18" s="341" t="str">
        <f t="shared" si="0"/>
        <v/>
      </c>
      <c r="K18" s="346"/>
      <c r="L18" s="345"/>
      <c r="M18" s="345"/>
      <c r="N18" s="253"/>
      <c r="O18" s="347"/>
      <c r="P18" s="117"/>
      <c r="Q18" s="234" t="s">
        <v>354</v>
      </c>
      <c r="R18" s="256">
        <v>1</v>
      </c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1:31" s="15" customFormat="1" x14ac:dyDescent="0.25">
      <c r="A19" s="330" t="str">
        <f>ВКВ1</f>
        <v>ВКВ-1</v>
      </c>
      <c r="B19" s="337"/>
      <c r="C19" s="336">
        <f t="shared" si="2"/>
        <v>0</v>
      </c>
      <c r="D19" s="364">
        <v>0.25</v>
      </c>
      <c r="E19" s="140">
        <f t="shared" si="3"/>
        <v>0.25</v>
      </c>
      <c r="F19" s="143">
        <f t="shared" ref="F19:F24" si="8">КВ2Скорость</f>
        <v>58.61</v>
      </c>
      <c r="G19" s="141">
        <f t="shared" si="5"/>
        <v>0.25592902235113463</v>
      </c>
      <c r="H19" s="365">
        <f t="shared" si="6"/>
        <v>0.49045132454465989</v>
      </c>
      <c r="I19" s="366"/>
      <c r="J19" s="365" t="str">
        <f t="shared" si="0"/>
        <v/>
      </c>
      <c r="K19" s="259">
        <f t="shared" ref="K19:K24" si="9">MIN(H19,J19)-ВремяОткрытияПостов/1440</f>
        <v>0.48003465787799321</v>
      </c>
      <c r="L19" s="129">
        <f t="shared" si="7"/>
        <v>0.49045132454465989</v>
      </c>
      <c r="M19" s="129">
        <f t="shared" ref="M19:M24" si="10">MAX(H19,J19)+(ЧислоЭкипажей+ВремяЗакрытияПостов+C19)/1440+C19</f>
        <v>0.53559021343354873</v>
      </c>
      <c r="N19" s="93" t="s">
        <v>210</v>
      </c>
      <c r="O19" s="368" t="s">
        <v>359</v>
      </c>
      <c r="Q19" s="234" t="s">
        <v>358</v>
      </c>
      <c r="R19" s="257">
        <v>3</v>
      </c>
    </row>
    <row r="20" spans="1:31" x14ac:dyDescent="0.25">
      <c r="A20" s="330" t="str">
        <f>ДС3&amp;" Старт"</f>
        <v>ДС-3 РУ Старт</v>
      </c>
      <c r="B20" s="337"/>
      <c r="C20" s="336">
        <f t="shared" si="2"/>
        <v>0</v>
      </c>
      <c r="D20" s="364">
        <f>'КВ1-КВ2 Про'!B11</f>
        <v>32.06</v>
      </c>
      <c r="E20" s="140">
        <f t="shared" si="3"/>
        <v>31.810000000000002</v>
      </c>
      <c r="F20" s="143">
        <f t="shared" si="8"/>
        <v>58.61</v>
      </c>
      <c r="G20" s="141">
        <f t="shared" si="5"/>
        <v>32.564408803958372</v>
      </c>
      <c r="H20" s="365">
        <f t="shared" si="6"/>
        <v>0.51306549732518658</v>
      </c>
      <c r="I20" s="366"/>
      <c r="J20" s="365" t="str">
        <f t="shared" si="0"/>
        <v/>
      </c>
      <c r="K20" s="259">
        <f t="shared" si="9"/>
        <v>0.50264883065851995</v>
      </c>
      <c r="L20" s="129">
        <f t="shared" si="7"/>
        <v>0.51306549732518658</v>
      </c>
      <c r="M20" s="129">
        <f t="shared" si="10"/>
        <v>0.55820438621407542</v>
      </c>
      <c r="N20" s="93" t="s">
        <v>208</v>
      </c>
      <c r="O20" s="368" t="s">
        <v>358</v>
      </c>
      <c r="Q20" s="234" t="s">
        <v>357</v>
      </c>
      <c r="R20" s="257">
        <v>4</v>
      </c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</row>
    <row r="21" spans="1:31" s="15" customFormat="1" x14ac:dyDescent="0.25">
      <c r="A21" s="330" t="str">
        <f>ДС3&amp;" Финиш"</f>
        <v>ДС-3 РУ Финиш</v>
      </c>
      <c r="B21" s="337"/>
      <c r="C21" s="336">
        <f t="shared" si="2"/>
        <v>0</v>
      </c>
      <c r="D21" s="364">
        <f>'КВ1-КВ2 Про'!B20</f>
        <v>43.44</v>
      </c>
      <c r="E21" s="140">
        <f t="shared" si="3"/>
        <v>11.379999999999995</v>
      </c>
      <c r="F21" s="143">
        <f t="shared" si="8"/>
        <v>58.61</v>
      </c>
      <c r="G21" s="141">
        <f t="shared" si="5"/>
        <v>11.649889097423644</v>
      </c>
      <c r="H21" s="365">
        <f t="shared" si="6"/>
        <v>0.52115569808728635</v>
      </c>
      <c r="I21" s="366">
        <f>ДС3Время</f>
        <v>670</v>
      </c>
      <c r="J21" s="365">
        <f t="shared" si="0"/>
        <v>0.52082012695481616</v>
      </c>
      <c r="K21" s="259">
        <f t="shared" si="9"/>
        <v>0.51040346028814954</v>
      </c>
      <c r="L21" s="129">
        <f t="shared" si="7"/>
        <v>0.52082012695481616</v>
      </c>
      <c r="M21" s="129">
        <f t="shared" si="10"/>
        <v>0.56629458697617518</v>
      </c>
      <c r="N21" s="93" t="s">
        <v>311</v>
      </c>
      <c r="O21" s="368" t="s">
        <v>357</v>
      </c>
      <c r="Q21" s="234" t="s">
        <v>364</v>
      </c>
      <c r="R21" s="256">
        <v>2</v>
      </c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1:31" s="15" customFormat="1" x14ac:dyDescent="0.25">
      <c r="A22" s="330" t="str">
        <f>ДС4&amp;" Старт"</f>
        <v>ДС-4 РД Старт</v>
      </c>
      <c r="B22" s="337"/>
      <c r="C22" s="336">
        <f t="shared" si="2"/>
        <v>0</v>
      </c>
      <c r="D22" s="364">
        <f>'КВ1-КВ2 Про'!B23</f>
        <v>89.23</v>
      </c>
      <c r="E22" s="140">
        <f t="shared" si="3"/>
        <v>45.790000000000006</v>
      </c>
      <c r="F22" s="143">
        <f t="shared" si="8"/>
        <v>58.61</v>
      </c>
      <c r="G22" s="141">
        <f t="shared" si="5"/>
        <v>46.875959733833824</v>
      </c>
      <c r="H22" s="365">
        <f t="shared" si="6"/>
        <v>0.55370844790244877</v>
      </c>
      <c r="I22" s="366"/>
      <c r="J22" s="365" t="str">
        <f t="shared" si="0"/>
        <v/>
      </c>
      <c r="K22" s="259">
        <f t="shared" si="9"/>
        <v>0.54329178123578215</v>
      </c>
      <c r="L22" s="129">
        <f t="shared" si="7"/>
        <v>0.55370844790244877</v>
      </c>
      <c r="M22" s="129">
        <f t="shared" si="10"/>
        <v>0.59884733679133761</v>
      </c>
      <c r="N22" s="93" t="s">
        <v>204</v>
      </c>
      <c r="O22" s="368" t="s">
        <v>358</v>
      </c>
      <c r="P22" s="117"/>
      <c r="Q22" s="234" t="s">
        <v>359</v>
      </c>
      <c r="R22" s="256">
        <v>2</v>
      </c>
    </row>
    <row r="23" spans="1:31" s="15" customFormat="1" x14ac:dyDescent="0.25">
      <c r="A23" s="330" t="str">
        <f>ДС4&amp;" Финиш"</f>
        <v>ДС-4 РД Финиш</v>
      </c>
      <c r="B23" s="337"/>
      <c r="C23" s="336">
        <f t="shared" si="2"/>
        <v>0</v>
      </c>
      <c r="D23" s="364">
        <f>'КВ1-КВ2 Про'!B40</f>
        <v>102.65</v>
      </c>
      <c r="E23" s="140">
        <f t="shared" si="3"/>
        <v>13.420000000000002</v>
      </c>
      <c r="F23" s="143">
        <f t="shared" si="8"/>
        <v>58.61</v>
      </c>
      <c r="G23" s="141">
        <f t="shared" si="5"/>
        <v>13.738269919808909</v>
      </c>
      <c r="H23" s="365">
        <f t="shared" si="6"/>
        <v>0.56324891312453829</v>
      </c>
      <c r="I23" s="366">
        <f>ДС4Время</f>
        <v>1936</v>
      </c>
      <c r="J23" s="365">
        <f t="shared" si="0"/>
        <v>0.57611585530985621</v>
      </c>
      <c r="K23" s="259">
        <f t="shared" si="9"/>
        <v>0.55283224645787166</v>
      </c>
      <c r="L23" s="129">
        <f t="shared" si="7"/>
        <v>0.57611585530985621</v>
      </c>
      <c r="M23" s="129">
        <f t="shared" si="10"/>
        <v>0.62125474419874505</v>
      </c>
      <c r="N23" s="93" t="s">
        <v>204</v>
      </c>
      <c r="O23" s="368" t="s">
        <v>357</v>
      </c>
      <c r="P23" s="117"/>
      <c r="Q23" s="234" t="s">
        <v>356</v>
      </c>
      <c r="R23" s="256">
        <v>1</v>
      </c>
    </row>
    <row r="24" spans="1:31" x14ac:dyDescent="0.25">
      <c r="A24" s="330" t="str">
        <f>КВ2</f>
        <v>КВ-2 ПКАД</v>
      </c>
      <c r="B24" s="337"/>
      <c r="C24" s="336">
        <f t="shared" si="2"/>
        <v>0</v>
      </c>
      <c r="D24" s="364">
        <f>КВ2Расстояние</f>
        <v>136.75</v>
      </c>
      <c r="E24" s="140">
        <f t="shared" si="3"/>
        <v>34.099999999999994</v>
      </c>
      <c r="F24" s="143">
        <f t="shared" si="8"/>
        <v>58.61</v>
      </c>
      <c r="G24" s="141">
        <f t="shared" si="5"/>
        <v>34.908718648694759</v>
      </c>
      <c r="H24" s="365">
        <f t="shared" si="6"/>
        <v>0.5874910788527985</v>
      </c>
      <c r="I24" s="366"/>
      <c r="J24" s="365" t="str">
        <f t="shared" si="0"/>
        <v/>
      </c>
      <c r="K24" s="259">
        <f t="shared" si="9"/>
        <v>0.57707441218613187</v>
      </c>
      <c r="L24" s="129">
        <f t="shared" si="7"/>
        <v>0.5874910788527985</v>
      </c>
      <c r="M24" s="129">
        <f t="shared" si="10"/>
        <v>0.63262996774168734</v>
      </c>
      <c r="N24" s="93" t="s">
        <v>210</v>
      </c>
      <c r="O24" s="368" t="s">
        <v>361</v>
      </c>
      <c r="Q24" s="254"/>
    </row>
    <row r="25" spans="1:31" s="15" customFormat="1" x14ac:dyDescent="0.25">
      <c r="A25" s="332" t="s">
        <v>280</v>
      </c>
      <c r="B25" s="335"/>
      <c r="C25" s="336">
        <f t="shared" si="2"/>
        <v>0</v>
      </c>
      <c r="D25" s="340"/>
      <c r="E25" s="340"/>
      <c r="F25" s="186"/>
      <c r="G25" s="186"/>
      <c r="H25" s="365">
        <f t="shared" si="6"/>
        <v>0.5874910788527985</v>
      </c>
      <c r="I25" s="342"/>
      <c r="J25" s="341" t="str">
        <f t="shared" si="0"/>
        <v/>
      </c>
      <c r="K25" s="346"/>
      <c r="L25" s="345"/>
      <c r="M25" s="345"/>
      <c r="N25" s="253"/>
      <c r="O25" s="347"/>
      <c r="P25" s="117"/>
      <c r="R25" s="117"/>
    </row>
    <row r="26" spans="1:31" s="15" customFormat="1" x14ac:dyDescent="0.25">
      <c r="A26" s="330" t="str">
        <f>ДС5&amp;" Старт"</f>
        <v>ДС-5 РД Старт</v>
      </c>
      <c r="B26" s="337"/>
      <c r="C26" s="336">
        <f t="shared" si="2"/>
        <v>0</v>
      </c>
      <c r="D26" s="364">
        <f>'КВ2-КВ3 Про'!B5</f>
        <v>0</v>
      </c>
      <c r="E26" s="140">
        <f t="shared" si="3"/>
        <v>0</v>
      </c>
      <c r="F26" s="143">
        <f>КВ3Скорость</f>
        <v>52.86</v>
      </c>
      <c r="G26" s="141">
        <f t="shared" si="5"/>
        <v>0</v>
      </c>
      <c r="H26" s="365">
        <f t="shared" si="6"/>
        <v>0.5874910788527985</v>
      </c>
      <c r="I26" s="366"/>
      <c r="J26" s="365" t="str">
        <f t="shared" si="0"/>
        <v/>
      </c>
      <c r="K26" s="259">
        <f>MIN(H26,J26)-ВремяОткрытияПостов/1440</f>
        <v>0.57707441218613187</v>
      </c>
      <c r="L26" s="129">
        <f t="shared" si="7"/>
        <v>0.5874910788527985</v>
      </c>
      <c r="M26" s="129">
        <f>MAX(H26,J26)+(ЧислоЭкипажей+ВремяЗакрытияПостов+C26)/1440+C26</f>
        <v>0.63262996774168734</v>
      </c>
      <c r="N26" s="93" t="s">
        <v>210</v>
      </c>
      <c r="O26" s="368" t="s">
        <v>358</v>
      </c>
      <c r="P26" s="117"/>
      <c r="Q26" s="117"/>
      <c r="R26" s="117"/>
    </row>
    <row r="27" spans="1:31" x14ac:dyDescent="0.25">
      <c r="A27" s="330" t="str">
        <f>ДС5&amp;" Финиш"</f>
        <v>ДС-5 РД Финиш</v>
      </c>
      <c r="B27" s="337"/>
      <c r="C27" s="336">
        <f t="shared" si="2"/>
        <v>0</v>
      </c>
      <c r="D27" s="364">
        <f>'КВ2-КВ3 Про'!B23</f>
        <v>19.93</v>
      </c>
      <c r="E27" s="140">
        <f t="shared" si="3"/>
        <v>19.93</v>
      </c>
      <c r="F27" s="143">
        <f>КВ3Скорость</f>
        <v>52.86</v>
      </c>
      <c r="G27" s="141">
        <f t="shared" si="5"/>
        <v>22.622020431328036</v>
      </c>
      <c r="H27" s="365">
        <f t="shared" si="6"/>
        <v>0.60320081526344294</v>
      </c>
      <c r="I27" s="366">
        <f>ДС5Время</f>
        <v>1899</v>
      </c>
      <c r="J27" s="365">
        <f t="shared" si="0"/>
        <v>0.60947024551946516</v>
      </c>
      <c r="K27" s="259">
        <f>MIN(H27,J27)-ВремяОткрытияПостов/1440</f>
        <v>0.59278414859677631</v>
      </c>
      <c r="L27" s="129">
        <f t="shared" si="7"/>
        <v>0.60947024551946516</v>
      </c>
      <c r="M27" s="129">
        <f>MAX(H27,J27)+(ЧислоЭкипажей+ВремяЗакрытияПостов+C27)/1440+C27</f>
        <v>0.654609134408354</v>
      </c>
      <c r="N27" s="93" t="s">
        <v>217</v>
      </c>
      <c r="O27" s="368" t="s">
        <v>357</v>
      </c>
    </row>
    <row r="28" spans="1:31" s="15" customFormat="1" x14ac:dyDescent="0.25">
      <c r="A28" s="330" t="str">
        <f>КВ3</f>
        <v>КВ-3 Финиш</v>
      </c>
      <c r="B28" s="337"/>
      <c r="C28" s="336">
        <f t="shared" si="2"/>
        <v>0</v>
      </c>
      <c r="D28" s="364">
        <f>КВ3Расстояние</f>
        <v>83.69</v>
      </c>
      <c r="E28" s="140">
        <f t="shared" si="3"/>
        <v>63.76</v>
      </c>
      <c r="F28" s="143">
        <f>КВ3Скорость</f>
        <v>52.86</v>
      </c>
      <c r="G28" s="141">
        <f t="shared" si="5"/>
        <v>72.372304199772984</v>
      </c>
      <c r="H28" s="365">
        <f t="shared" si="6"/>
        <v>0.65345935984661863</v>
      </c>
      <c r="I28" s="366"/>
      <c r="J28" s="365" t="str">
        <f t="shared" si="0"/>
        <v/>
      </c>
      <c r="K28" s="259">
        <f>MIN(H28,J28)-ВремяОткрытияПостов/1440</f>
        <v>0.643042693179952</v>
      </c>
      <c r="L28" s="129">
        <f t="shared" si="7"/>
        <v>0.65345935984661863</v>
      </c>
      <c r="M28" s="129">
        <f>MAX(H28,J28)+(ЧислоЭкипажей+ВремяЗакрытияПостов+C28)/1440+C28</f>
        <v>0.69859824873550747</v>
      </c>
      <c r="N28" s="93" t="s">
        <v>208</v>
      </c>
      <c r="O28" s="368" t="s">
        <v>355</v>
      </c>
    </row>
    <row r="29" spans="1:31" s="15" customFormat="1" x14ac:dyDescent="0.25">
      <c r="A29" s="332" t="str">
        <f>ДС6</f>
        <v>ДС-6 СЛ</v>
      </c>
      <c r="B29" s="335"/>
      <c r="C29" s="336">
        <f t="shared" si="2"/>
        <v>0</v>
      </c>
      <c r="D29" s="340"/>
      <c r="E29" s="340"/>
      <c r="F29" s="186"/>
      <c r="G29" s="187"/>
      <c r="H29" s="365">
        <f t="shared" si="6"/>
        <v>0.65345935984661863</v>
      </c>
      <c r="I29" s="343"/>
      <c r="J29" s="344" t="str">
        <f t="shared" si="0"/>
        <v/>
      </c>
      <c r="K29" s="376">
        <f>MIN(H29,J29)-ВремяОткрытияПостов/1440</f>
        <v>0.643042693179952</v>
      </c>
      <c r="L29" s="377">
        <f t="shared" si="7"/>
        <v>0.65345935984661863</v>
      </c>
      <c r="M29" s="377">
        <f>MAX(H29,J29)+(ЧислоЭкипажей+ВремяЗакрытияПостов+C29)/1440+C29</f>
        <v>0.69859824873550747</v>
      </c>
      <c r="N29" s="313" t="s">
        <v>208</v>
      </c>
      <c r="O29" s="378" t="s">
        <v>360</v>
      </c>
      <c r="P29" s="117"/>
      <c r="Q29" s="117"/>
      <c r="R29" s="117"/>
    </row>
    <row r="30" spans="1:31" x14ac:dyDescent="0.25">
      <c r="A30" s="121" t="s">
        <v>190</v>
      </c>
      <c r="B30" s="338">
        <f>SUM(B11:B29)</f>
        <v>0</v>
      </c>
      <c r="C30" s="339"/>
      <c r="D30" s="369"/>
      <c r="E30" s="370">
        <f>SUM(E11:E29)</f>
        <v>307.62000000000006</v>
      </c>
      <c r="F30" s="371"/>
      <c r="G30" s="372">
        <f>SUM(G11:G29)</f>
        <v>339.98147817913076</v>
      </c>
      <c r="H30" s="373"/>
      <c r="I30" s="374"/>
      <c r="J30" s="274"/>
      <c r="K30" s="274"/>
      <c r="L30" s="274"/>
      <c r="M30" s="375"/>
      <c r="N30" s="274"/>
      <c r="O30" s="275"/>
    </row>
    <row r="31" spans="1:31" x14ac:dyDescent="0.25">
      <c r="A31" s="15"/>
      <c r="D31" s="15" t="s">
        <v>283</v>
      </c>
      <c r="E31" s="86">
        <f>РасстояниеВсего-E30</f>
        <v>0</v>
      </c>
      <c r="F31" s="15" t="s">
        <v>283</v>
      </c>
      <c r="G31" s="15">
        <f>ВремяВсего-G30</f>
        <v>1.8521820869239036E-2</v>
      </c>
    </row>
    <row r="33" spans="1:18" x14ac:dyDescent="0.25">
      <c r="A33" s="331" t="str">
        <f>ВКП1</f>
        <v>ВКП-1</v>
      </c>
      <c r="B33" s="337"/>
      <c r="C33" s="336">
        <f>C13+B33</f>
        <v>0</v>
      </c>
      <c r="D33" s="364">
        <v>27.5</v>
      </c>
      <c r="E33" s="140">
        <f>D33-D13</f>
        <v>27.5</v>
      </c>
      <c r="F33" s="143">
        <f t="shared" si="4"/>
        <v>49.82</v>
      </c>
      <c r="G33" s="141">
        <f>E33/F33*60</f>
        <v>33.119229225210759</v>
      </c>
      <c r="H33" s="365">
        <f>H13+G33/1440</f>
        <v>0.44036057585084082</v>
      </c>
      <c r="I33" s="366"/>
      <c r="J33" s="365" t="str">
        <f>IF(NOT(ISBLANK(I33)),H13+I33/86400,"")</f>
        <v/>
      </c>
      <c r="K33" s="259">
        <f>MIN(H33,J33)-ВремяОткрытияПостов/1440</f>
        <v>0.42994390918417413</v>
      </c>
      <c r="L33" s="129">
        <f>IF(ISBLANK(I33),H33,J33)</f>
        <v>0.44036057585084082</v>
      </c>
      <c r="M33" s="129">
        <f>MAX(H33,J33)+(ЧислоЭкипажей+ВремяЗакрытияПостов+C33)/1440+C33</f>
        <v>0.48549946473972971</v>
      </c>
      <c r="N33" s="93" t="s">
        <v>388</v>
      </c>
      <c r="O33" s="368" t="s">
        <v>356</v>
      </c>
    </row>
    <row r="34" spans="1:18" ht="75" x14ac:dyDescent="0.25">
      <c r="C34" s="139" t="s">
        <v>216</v>
      </c>
      <c r="E34" s="139" t="s">
        <v>216</v>
      </c>
      <c r="H34" s="139" t="s">
        <v>216</v>
      </c>
      <c r="J34" s="139" t="s">
        <v>216</v>
      </c>
    </row>
    <row r="36" spans="1:18" x14ac:dyDescent="0.25">
      <c r="A36" s="120" t="s">
        <v>234</v>
      </c>
      <c r="B36" s="120">
        <v>60</v>
      </c>
    </row>
    <row r="37" spans="1:18" x14ac:dyDescent="0.25">
      <c r="A37" s="120" t="s">
        <v>235</v>
      </c>
      <c r="B37" s="120">
        <v>120</v>
      </c>
    </row>
    <row r="38" spans="1:18" x14ac:dyDescent="0.25">
      <c r="A38" s="120" t="s">
        <v>236</v>
      </c>
      <c r="B38" s="120">
        <v>1800</v>
      </c>
    </row>
    <row r="39" spans="1:18" s="15" customFormat="1" x14ac:dyDescent="0.25">
      <c r="A39" s="120" t="s">
        <v>248</v>
      </c>
      <c r="B39" s="120">
        <v>1000</v>
      </c>
      <c r="P39" s="117"/>
      <c r="Q39" s="117"/>
      <c r="R39" s="117"/>
    </row>
    <row r="40" spans="1:18" s="15" customFormat="1" x14ac:dyDescent="0.25">
      <c r="A40" s="120" t="s">
        <v>247</v>
      </c>
      <c r="B40" s="120">
        <v>120</v>
      </c>
      <c r="P40" s="117"/>
      <c r="Q40" s="117"/>
      <c r="R40" s="117"/>
    </row>
    <row r="41" spans="1:18" x14ac:dyDescent="0.25">
      <c r="A41" s="120" t="s">
        <v>237</v>
      </c>
      <c r="B41" s="120">
        <v>120</v>
      </c>
    </row>
    <row r="42" spans="1:18" s="15" customFormat="1" x14ac:dyDescent="0.25">
      <c r="A42" s="120" t="s">
        <v>352</v>
      </c>
      <c r="B42" s="120">
        <v>300</v>
      </c>
      <c r="P42" s="117"/>
      <c r="Q42" s="117"/>
      <c r="R42" s="117"/>
    </row>
    <row r="43" spans="1:18" x14ac:dyDescent="0.25">
      <c r="A43" s="120" t="s">
        <v>238</v>
      </c>
      <c r="B43" s="120">
        <v>120</v>
      </c>
    </row>
    <row r="44" spans="1:18" x14ac:dyDescent="0.25">
      <c r="A44" s="120" t="s">
        <v>249</v>
      </c>
      <c r="B44" s="120">
        <v>300</v>
      </c>
    </row>
    <row r="45" spans="1:18" s="15" customFormat="1" x14ac:dyDescent="0.25">
      <c r="A45" s="120" t="s">
        <v>250</v>
      </c>
      <c r="B45" s="120">
        <v>1000</v>
      </c>
      <c r="P45" s="117"/>
      <c r="Q45" s="117"/>
      <c r="R45" s="117"/>
    </row>
    <row r="46" spans="1:18" s="15" customFormat="1" x14ac:dyDescent="0.25">
      <c r="A46" s="120" t="s">
        <v>251</v>
      </c>
      <c r="B46" s="120">
        <v>180</v>
      </c>
      <c r="P46" s="117"/>
      <c r="Q46" s="117"/>
      <c r="R46" s="117"/>
    </row>
    <row r="47" spans="1:18" s="15" customFormat="1" x14ac:dyDescent="0.25">
      <c r="A47" s="120" t="s">
        <v>252</v>
      </c>
      <c r="B47" s="120">
        <v>60</v>
      </c>
      <c r="P47" s="117"/>
      <c r="Q47" s="117"/>
      <c r="R47" s="117"/>
    </row>
    <row r="48" spans="1:18" x14ac:dyDescent="0.25">
      <c r="A48" s="120" t="s">
        <v>245</v>
      </c>
      <c r="B48" s="120">
        <v>20</v>
      </c>
    </row>
    <row r="49" spans="1:18" x14ac:dyDescent="0.25">
      <c r="A49" s="120" t="s">
        <v>239</v>
      </c>
      <c r="B49" s="120">
        <v>1</v>
      </c>
    </row>
    <row r="50" spans="1:18" x14ac:dyDescent="0.25">
      <c r="A50" s="120" t="s">
        <v>240</v>
      </c>
      <c r="B50" s="120">
        <v>180</v>
      </c>
    </row>
    <row r="51" spans="1:18" x14ac:dyDescent="0.25">
      <c r="A51" s="120" t="s">
        <v>241</v>
      </c>
      <c r="B51" s="120">
        <v>1</v>
      </c>
    </row>
    <row r="52" spans="1:18" x14ac:dyDescent="0.25">
      <c r="A52" s="120" t="s">
        <v>246</v>
      </c>
      <c r="B52" s="120">
        <v>10</v>
      </c>
    </row>
    <row r="53" spans="1:18" x14ac:dyDescent="0.25">
      <c r="A53" s="120" t="s">
        <v>242</v>
      </c>
      <c r="B53" s="120">
        <v>20</v>
      </c>
      <c r="C53"/>
      <c r="D53"/>
      <c r="F53"/>
      <c r="G53"/>
      <c r="H53"/>
      <c r="I53"/>
      <c r="J53"/>
      <c r="K53"/>
      <c r="L53"/>
      <c r="M53"/>
      <c r="N53"/>
      <c r="P53"/>
      <c r="Q53"/>
      <c r="R53"/>
    </row>
    <row r="54" spans="1:18" x14ac:dyDescent="0.25">
      <c r="A54" s="120" t="s">
        <v>243</v>
      </c>
      <c r="B54" s="120">
        <v>10</v>
      </c>
      <c r="C54"/>
      <c r="D54"/>
      <c r="F54"/>
      <c r="G54"/>
      <c r="H54"/>
      <c r="I54"/>
      <c r="J54"/>
      <c r="K54"/>
      <c r="L54"/>
      <c r="M54"/>
      <c r="N54"/>
      <c r="P54"/>
      <c r="Q54"/>
      <c r="R54"/>
    </row>
    <row r="55" spans="1:18" x14ac:dyDescent="0.25">
      <c r="A55" s="120" t="s">
        <v>244</v>
      </c>
      <c r="B55" s="120">
        <v>20</v>
      </c>
      <c r="C55"/>
      <c r="D55"/>
      <c r="F55"/>
      <c r="G55"/>
      <c r="H55"/>
      <c r="I55"/>
      <c r="J55"/>
      <c r="K55"/>
      <c r="L55"/>
      <c r="M55"/>
      <c r="N55"/>
      <c r="P55"/>
      <c r="Q55"/>
      <c r="R55"/>
    </row>
  </sheetData>
  <mergeCells count="4">
    <mergeCell ref="D9:H9"/>
    <mergeCell ref="B9:C9"/>
    <mergeCell ref="I9:J9"/>
    <mergeCell ref="K9:O9"/>
  </mergeCells>
  <pageMargins left="0.7" right="0.7" top="0.75" bottom="0.75" header="0.3" footer="0.3"/>
  <pageSetup paperSize="9" scale="39" orientation="landscape" horizontalDpi="300" verticalDpi="0" r:id="rId1"/>
  <ignoredErrors>
    <ignoredError sqref="M12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CZ35"/>
  <sheetViews>
    <sheetView tabSelected="1" view="pageBreakPreview" zoomScaleNormal="100" zoomScaleSheetLayoutView="100" workbookViewId="0">
      <pane xSplit="2" ySplit="5" topLeftCell="AK6" activePane="bottomRight" state="frozen"/>
      <selection pane="topRight" activeCell="C1" sqref="C1"/>
      <selection pane="bottomLeft" activeCell="A3" sqref="A3"/>
      <selection pane="bottomRight" activeCell="F25" sqref="F25"/>
    </sheetView>
  </sheetViews>
  <sheetFormatPr defaultRowHeight="15" outlineLevelCol="2" x14ac:dyDescent="0.25"/>
  <cols>
    <col min="1" max="1" width="6" style="15" customWidth="1" outlineLevel="1"/>
    <col min="2" max="2" width="9.140625" style="15"/>
    <col min="3" max="3" width="18.7109375" style="15" customWidth="1"/>
    <col min="4" max="6" width="18.140625" style="15" customWidth="1" outlineLevel="1"/>
    <col min="7" max="8" width="8.7109375" style="15" customWidth="1" outlineLevel="1"/>
    <col min="9" max="9" width="9.140625" style="15"/>
    <col min="10" max="10" width="8.7109375" style="15" customWidth="1"/>
    <col min="11" max="11" width="12.7109375" style="15" customWidth="1"/>
    <col min="12" max="12" width="11.7109375" style="15" hidden="1" customWidth="1" outlineLevel="1"/>
    <col min="13" max="14" width="9.140625" style="15" hidden="1" customWidth="1" outlineLevel="1"/>
    <col min="15" max="18" width="7.28515625" style="15" hidden="1" customWidth="1" outlineLevel="2"/>
    <col min="19" max="21" width="7.28515625" style="15" hidden="1" customWidth="1" outlineLevel="1"/>
    <col min="22" max="22" width="7.28515625" style="15" customWidth="1" collapsed="1"/>
    <col min="23" max="23" width="7.28515625" style="15" hidden="1" customWidth="1" outlineLevel="1"/>
    <col min="24" max="24" width="7.28515625" style="15" customWidth="1" collapsed="1"/>
    <col min="25" max="28" width="9.140625" style="15" hidden="1" customWidth="1" outlineLevel="1"/>
    <col min="29" max="29" width="9.140625" style="15" customWidth="1" collapsed="1"/>
    <col min="30" max="30" width="9.140625" style="15" hidden="1" customWidth="1" outlineLevel="1"/>
    <col min="31" max="31" width="9.140625" style="15" customWidth="1" collapsed="1"/>
    <col min="32" max="33" width="9.140625" style="15" customWidth="1"/>
    <col min="34" max="36" width="9.140625" style="15" hidden="1" customWidth="1" outlineLevel="1"/>
    <col min="37" max="37" width="9.140625" style="15" customWidth="1" collapsed="1"/>
    <col min="38" max="38" width="9.140625" style="15" customWidth="1"/>
    <col min="39" max="39" width="9.140625" style="15" hidden="1" customWidth="1" outlineLevel="1"/>
    <col min="40" max="40" width="9.140625" style="15" customWidth="1" collapsed="1"/>
    <col min="41" max="41" width="9.140625" style="15" hidden="1" customWidth="1" outlineLevel="2"/>
    <col min="42" max="45" width="9.140625" style="15" hidden="1" customWidth="1" outlineLevel="1"/>
    <col min="46" max="46" width="9.140625" style="15" customWidth="1" collapsed="1"/>
    <col min="47" max="47" width="9.140625" style="15" hidden="1" customWidth="1" outlineLevel="1"/>
    <col min="48" max="48" width="9.140625" style="15" customWidth="1" collapsed="1"/>
    <col min="49" max="51" width="9.140625" style="15" customWidth="1"/>
    <col min="52" max="55" width="9.140625" style="15" hidden="1" customWidth="1" outlineLevel="1"/>
    <col min="56" max="56" width="9.140625" style="15" customWidth="1" collapsed="1"/>
    <col min="57" max="57" width="9.140625" style="15" hidden="1" customWidth="1" outlineLevel="1"/>
    <col min="58" max="58" width="10" style="15" customWidth="1" collapsed="1"/>
    <col min="59" max="61" width="9.140625" style="15" customWidth="1"/>
    <col min="62" max="65" width="9.140625" style="15" hidden="1" customWidth="1" outlineLevel="2"/>
    <col min="66" max="66" width="9.140625" style="15" customWidth="1" collapsed="1"/>
    <col min="67" max="67" width="9.140625" style="15" hidden="1" customWidth="1" outlineLevel="1"/>
    <col min="68" max="68" width="9.140625" style="15" customWidth="1" collapsed="1"/>
    <col min="69" max="71" width="9.140625" style="15" customWidth="1"/>
    <col min="72" max="72" width="10.7109375" style="15" hidden="1" customWidth="1" outlineLevel="1"/>
    <col min="73" max="74" width="9.140625" style="15" hidden="1" customWidth="1" outlineLevel="1"/>
    <col min="75" max="75" width="9.140625" style="15" customWidth="1" collapsed="1"/>
    <col min="76" max="76" width="9.140625" style="15" hidden="1" customWidth="1" outlineLevel="1"/>
    <col min="77" max="77" width="9.140625" style="15" customWidth="1" collapsed="1"/>
    <col min="78" max="78" width="9.140625" style="15" customWidth="1"/>
    <col min="79" max="79" width="9.140625" style="15" hidden="1" customWidth="1" outlineLevel="1"/>
    <col min="80" max="80" width="9.140625" style="15" customWidth="1" collapsed="1"/>
    <col min="81" max="83" width="9.140625" style="15" hidden="1" customWidth="1" outlineLevel="1"/>
    <col min="84" max="84" width="9.140625" style="15" customWidth="1" collapsed="1"/>
    <col min="85" max="85" width="9.140625" style="15" hidden="1" customWidth="1" outlineLevel="1"/>
    <col min="86" max="86" width="9.140625" style="15" customWidth="1" collapsed="1"/>
    <col min="87" max="87" width="9.140625" style="15" customWidth="1"/>
    <col min="88" max="88" width="9.140625" style="15" hidden="1" customWidth="1" outlineLevel="1"/>
    <col min="89" max="89" width="9.140625" style="15" customWidth="1" collapsed="1"/>
    <col min="90" max="91" width="9.140625" style="15" hidden="1" customWidth="1" outlineLevel="1"/>
    <col min="92" max="92" width="9.140625" style="15" customWidth="1" collapsed="1"/>
    <col min="93" max="93" width="9.140625" style="15" hidden="1" customWidth="1" outlineLevel="1"/>
    <col min="94" max="94" width="9.140625" style="15" customWidth="1" collapsed="1"/>
    <col min="95" max="98" width="9.140625" style="15" customWidth="1"/>
    <col min="99" max="99" width="22.42578125" style="15" customWidth="1"/>
    <col min="100" max="100" width="26" style="15" customWidth="1"/>
    <col min="101" max="104" width="9.140625" style="15" customWidth="1"/>
    <col min="105" max="277" width="9.140625" style="15"/>
    <col min="278" max="278" width="18.7109375" style="15" customWidth="1"/>
    <col min="279" max="279" width="18.140625" style="15" customWidth="1"/>
    <col min="280" max="280" width="8.7109375" style="15" customWidth="1"/>
    <col min="281" max="281" width="9.140625" style="15"/>
    <col min="282" max="282" width="9.140625" style="15" customWidth="1"/>
    <col min="283" max="283" width="27.28515625" style="15" customWidth="1"/>
    <col min="284" max="319" width="9.140625" style="15" customWidth="1"/>
    <col min="320" max="533" width="9.140625" style="15"/>
    <col min="534" max="534" width="18.7109375" style="15" customWidth="1"/>
    <col min="535" max="535" width="18.140625" style="15" customWidth="1"/>
    <col min="536" max="536" width="8.7109375" style="15" customWidth="1"/>
    <col min="537" max="537" width="9.140625" style="15"/>
    <col min="538" max="538" width="9.140625" style="15" customWidth="1"/>
    <col min="539" max="539" width="27.28515625" style="15" customWidth="1"/>
    <col min="540" max="575" width="9.140625" style="15" customWidth="1"/>
    <col min="576" max="789" width="9.140625" style="15"/>
    <col min="790" max="790" width="18.7109375" style="15" customWidth="1"/>
    <col min="791" max="791" width="18.140625" style="15" customWidth="1"/>
    <col min="792" max="792" width="8.7109375" style="15" customWidth="1"/>
    <col min="793" max="793" width="9.140625" style="15"/>
    <col min="794" max="794" width="9.140625" style="15" customWidth="1"/>
    <col min="795" max="795" width="27.28515625" style="15" customWidth="1"/>
    <col min="796" max="831" width="9.140625" style="15" customWidth="1"/>
    <col min="832" max="1045" width="9.140625" style="15"/>
    <col min="1046" max="1046" width="18.7109375" style="15" customWidth="1"/>
    <col min="1047" max="1047" width="18.140625" style="15" customWidth="1"/>
    <col min="1048" max="1048" width="8.7109375" style="15" customWidth="1"/>
    <col min="1049" max="1049" width="9.140625" style="15"/>
    <col min="1050" max="1050" width="9.140625" style="15" customWidth="1"/>
    <col min="1051" max="1051" width="27.28515625" style="15" customWidth="1"/>
    <col min="1052" max="1087" width="9.140625" style="15" customWidth="1"/>
    <col min="1088" max="1301" width="9.140625" style="15"/>
    <col min="1302" max="1302" width="18.7109375" style="15" customWidth="1"/>
    <col min="1303" max="1303" width="18.140625" style="15" customWidth="1"/>
    <col min="1304" max="1304" width="8.7109375" style="15" customWidth="1"/>
    <col min="1305" max="1305" width="9.140625" style="15"/>
    <col min="1306" max="1306" width="9.140625" style="15" customWidth="1"/>
    <col min="1307" max="1307" width="27.28515625" style="15" customWidth="1"/>
    <col min="1308" max="1343" width="9.140625" style="15" customWidth="1"/>
    <col min="1344" max="1557" width="9.140625" style="15"/>
    <col min="1558" max="1558" width="18.7109375" style="15" customWidth="1"/>
    <col min="1559" max="1559" width="18.140625" style="15" customWidth="1"/>
    <col min="1560" max="1560" width="8.7109375" style="15" customWidth="1"/>
    <col min="1561" max="1561" width="9.140625" style="15"/>
    <col min="1562" max="1562" width="9.140625" style="15" customWidth="1"/>
    <col min="1563" max="1563" width="27.28515625" style="15" customWidth="1"/>
    <col min="1564" max="1599" width="9.140625" style="15" customWidth="1"/>
    <col min="1600" max="1813" width="9.140625" style="15"/>
    <col min="1814" max="1814" width="18.7109375" style="15" customWidth="1"/>
    <col min="1815" max="1815" width="18.140625" style="15" customWidth="1"/>
    <col min="1816" max="1816" width="8.7109375" style="15" customWidth="1"/>
    <col min="1817" max="1817" width="9.140625" style="15"/>
    <col min="1818" max="1818" width="9.140625" style="15" customWidth="1"/>
    <col min="1819" max="1819" width="27.28515625" style="15" customWidth="1"/>
    <col min="1820" max="1855" width="9.140625" style="15" customWidth="1"/>
    <col min="1856" max="2069" width="9.140625" style="15"/>
    <col min="2070" max="2070" width="18.7109375" style="15" customWidth="1"/>
    <col min="2071" max="2071" width="18.140625" style="15" customWidth="1"/>
    <col min="2072" max="2072" width="8.7109375" style="15" customWidth="1"/>
    <col min="2073" max="2073" width="9.140625" style="15"/>
    <col min="2074" max="2074" width="9.140625" style="15" customWidth="1"/>
    <col min="2075" max="2075" width="27.28515625" style="15" customWidth="1"/>
    <col min="2076" max="2111" width="9.140625" style="15" customWidth="1"/>
    <col min="2112" max="2325" width="9.140625" style="15"/>
    <col min="2326" max="2326" width="18.7109375" style="15" customWidth="1"/>
    <col min="2327" max="2327" width="18.140625" style="15" customWidth="1"/>
    <col min="2328" max="2328" width="8.7109375" style="15" customWidth="1"/>
    <col min="2329" max="2329" width="9.140625" style="15"/>
    <col min="2330" max="2330" width="9.140625" style="15" customWidth="1"/>
    <col min="2331" max="2331" width="27.28515625" style="15" customWidth="1"/>
    <col min="2332" max="2367" width="9.140625" style="15" customWidth="1"/>
    <col min="2368" max="2581" width="9.140625" style="15"/>
    <col min="2582" max="2582" width="18.7109375" style="15" customWidth="1"/>
    <col min="2583" max="2583" width="18.140625" style="15" customWidth="1"/>
    <col min="2584" max="2584" width="8.7109375" style="15" customWidth="1"/>
    <col min="2585" max="2585" width="9.140625" style="15"/>
    <col min="2586" max="2586" width="9.140625" style="15" customWidth="1"/>
    <col min="2587" max="2587" width="27.28515625" style="15" customWidth="1"/>
    <col min="2588" max="2623" width="9.140625" style="15" customWidth="1"/>
    <col min="2624" max="2837" width="9.140625" style="15"/>
    <col min="2838" max="2838" width="18.7109375" style="15" customWidth="1"/>
    <col min="2839" max="2839" width="18.140625" style="15" customWidth="1"/>
    <col min="2840" max="2840" width="8.7109375" style="15" customWidth="1"/>
    <col min="2841" max="2841" width="9.140625" style="15"/>
    <col min="2842" max="2842" width="9.140625" style="15" customWidth="1"/>
    <col min="2843" max="2843" width="27.28515625" style="15" customWidth="1"/>
    <col min="2844" max="2879" width="9.140625" style="15" customWidth="1"/>
    <col min="2880" max="3093" width="9.140625" style="15"/>
    <col min="3094" max="3094" width="18.7109375" style="15" customWidth="1"/>
    <col min="3095" max="3095" width="18.140625" style="15" customWidth="1"/>
    <col min="3096" max="3096" width="8.7109375" style="15" customWidth="1"/>
    <col min="3097" max="3097" width="9.140625" style="15"/>
    <col min="3098" max="3098" width="9.140625" style="15" customWidth="1"/>
    <col min="3099" max="3099" width="27.28515625" style="15" customWidth="1"/>
    <col min="3100" max="3135" width="9.140625" style="15" customWidth="1"/>
    <col min="3136" max="3349" width="9.140625" style="15"/>
    <col min="3350" max="3350" width="18.7109375" style="15" customWidth="1"/>
    <col min="3351" max="3351" width="18.140625" style="15" customWidth="1"/>
    <col min="3352" max="3352" width="8.7109375" style="15" customWidth="1"/>
    <col min="3353" max="3353" width="9.140625" style="15"/>
    <col min="3354" max="3354" width="9.140625" style="15" customWidth="1"/>
    <col min="3355" max="3355" width="27.28515625" style="15" customWidth="1"/>
    <col min="3356" max="3391" width="9.140625" style="15" customWidth="1"/>
    <col min="3392" max="3605" width="9.140625" style="15"/>
    <col min="3606" max="3606" width="18.7109375" style="15" customWidth="1"/>
    <col min="3607" max="3607" width="18.140625" style="15" customWidth="1"/>
    <col min="3608" max="3608" width="8.7109375" style="15" customWidth="1"/>
    <col min="3609" max="3609" width="9.140625" style="15"/>
    <col min="3610" max="3610" width="9.140625" style="15" customWidth="1"/>
    <col min="3611" max="3611" width="27.28515625" style="15" customWidth="1"/>
    <col min="3612" max="3647" width="9.140625" style="15" customWidth="1"/>
    <col min="3648" max="3861" width="9.140625" style="15"/>
    <col min="3862" max="3862" width="18.7109375" style="15" customWidth="1"/>
    <col min="3863" max="3863" width="18.140625" style="15" customWidth="1"/>
    <col min="3864" max="3864" width="8.7109375" style="15" customWidth="1"/>
    <col min="3865" max="3865" width="9.140625" style="15"/>
    <col min="3866" max="3866" width="9.140625" style="15" customWidth="1"/>
    <col min="3867" max="3867" width="27.28515625" style="15" customWidth="1"/>
    <col min="3868" max="3903" width="9.140625" style="15" customWidth="1"/>
    <col min="3904" max="4117" width="9.140625" style="15"/>
    <col min="4118" max="4118" width="18.7109375" style="15" customWidth="1"/>
    <col min="4119" max="4119" width="18.140625" style="15" customWidth="1"/>
    <col min="4120" max="4120" width="8.7109375" style="15" customWidth="1"/>
    <col min="4121" max="4121" width="9.140625" style="15"/>
    <col min="4122" max="4122" width="9.140625" style="15" customWidth="1"/>
    <col min="4123" max="4123" width="27.28515625" style="15" customWidth="1"/>
    <col min="4124" max="4159" width="9.140625" style="15" customWidth="1"/>
    <col min="4160" max="4373" width="9.140625" style="15"/>
    <col min="4374" max="4374" width="18.7109375" style="15" customWidth="1"/>
    <col min="4375" max="4375" width="18.140625" style="15" customWidth="1"/>
    <col min="4376" max="4376" width="8.7109375" style="15" customWidth="1"/>
    <col min="4377" max="4377" width="9.140625" style="15"/>
    <col min="4378" max="4378" width="9.140625" style="15" customWidth="1"/>
    <col min="4379" max="4379" width="27.28515625" style="15" customWidth="1"/>
    <col min="4380" max="4415" width="9.140625" style="15" customWidth="1"/>
    <col min="4416" max="4629" width="9.140625" style="15"/>
    <col min="4630" max="4630" width="18.7109375" style="15" customWidth="1"/>
    <col min="4631" max="4631" width="18.140625" style="15" customWidth="1"/>
    <col min="4632" max="4632" width="8.7109375" style="15" customWidth="1"/>
    <col min="4633" max="4633" width="9.140625" style="15"/>
    <col min="4634" max="4634" width="9.140625" style="15" customWidth="1"/>
    <col min="4635" max="4635" width="27.28515625" style="15" customWidth="1"/>
    <col min="4636" max="4671" width="9.140625" style="15" customWidth="1"/>
    <col min="4672" max="4885" width="9.140625" style="15"/>
    <col min="4886" max="4886" width="18.7109375" style="15" customWidth="1"/>
    <col min="4887" max="4887" width="18.140625" style="15" customWidth="1"/>
    <col min="4888" max="4888" width="8.7109375" style="15" customWidth="1"/>
    <col min="4889" max="4889" width="9.140625" style="15"/>
    <col min="4890" max="4890" width="9.140625" style="15" customWidth="1"/>
    <col min="4891" max="4891" width="27.28515625" style="15" customWidth="1"/>
    <col min="4892" max="4927" width="9.140625" style="15" customWidth="1"/>
    <col min="4928" max="5141" width="9.140625" style="15"/>
    <col min="5142" max="5142" width="18.7109375" style="15" customWidth="1"/>
    <col min="5143" max="5143" width="18.140625" style="15" customWidth="1"/>
    <col min="5144" max="5144" width="8.7109375" style="15" customWidth="1"/>
    <col min="5145" max="5145" width="9.140625" style="15"/>
    <col min="5146" max="5146" width="9.140625" style="15" customWidth="1"/>
    <col min="5147" max="5147" width="27.28515625" style="15" customWidth="1"/>
    <col min="5148" max="5183" width="9.140625" style="15" customWidth="1"/>
    <col min="5184" max="5397" width="9.140625" style="15"/>
    <col min="5398" max="5398" width="18.7109375" style="15" customWidth="1"/>
    <col min="5399" max="5399" width="18.140625" style="15" customWidth="1"/>
    <col min="5400" max="5400" width="8.7109375" style="15" customWidth="1"/>
    <col min="5401" max="5401" width="9.140625" style="15"/>
    <col min="5402" max="5402" width="9.140625" style="15" customWidth="1"/>
    <col min="5403" max="5403" width="27.28515625" style="15" customWidth="1"/>
    <col min="5404" max="5439" width="9.140625" style="15" customWidth="1"/>
    <col min="5440" max="5653" width="9.140625" style="15"/>
    <col min="5654" max="5654" width="18.7109375" style="15" customWidth="1"/>
    <col min="5655" max="5655" width="18.140625" style="15" customWidth="1"/>
    <col min="5656" max="5656" width="8.7109375" style="15" customWidth="1"/>
    <col min="5657" max="5657" width="9.140625" style="15"/>
    <col min="5658" max="5658" width="9.140625" style="15" customWidth="1"/>
    <col min="5659" max="5659" width="27.28515625" style="15" customWidth="1"/>
    <col min="5660" max="5695" width="9.140625" style="15" customWidth="1"/>
    <col min="5696" max="5909" width="9.140625" style="15"/>
    <col min="5910" max="5910" width="18.7109375" style="15" customWidth="1"/>
    <col min="5911" max="5911" width="18.140625" style="15" customWidth="1"/>
    <col min="5912" max="5912" width="8.7109375" style="15" customWidth="1"/>
    <col min="5913" max="5913" width="9.140625" style="15"/>
    <col min="5914" max="5914" width="9.140625" style="15" customWidth="1"/>
    <col min="5915" max="5915" width="27.28515625" style="15" customWidth="1"/>
    <col min="5916" max="5951" width="9.140625" style="15" customWidth="1"/>
    <col min="5952" max="6165" width="9.140625" style="15"/>
    <col min="6166" max="6166" width="18.7109375" style="15" customWidth="1"/>
    <col min="6167" max="6167" width="18.140625" style="15" customWidth="1"/>
    <col min="6168" max="6168" width="8.7109375" style="15" customWidth="1"/>
    <col min="6169" max="6169" width="9.140625" style="15"/>
    <col min="6170" max="6170" width="9.140625" style="15" customWidth="1"/>
    <col min="6171" max="6171" width="27.28515625" style="15" customWidth="1"/>
    <col min="6172" max="6207" width="9.140625" style="15" customWidth="1"/>
    <col min="6208" max="6421" width="9.140625" style="15"/>
    <col min="6422" max="6422" width="18.7109375" style="15" customWidth="1"/>
    <col min="6423" max="6423" width="18.140625" style="15" customWidth="1"/>
    <col min="6424" max="6424" width="8.7109375" style="15" customWidth="1"/>
    <col min="6425" max="6425" width="9.140625" style="15"/>
    <col min="6426" max="6426" width="9.140625" style="15" customWidth="1"/>
    <col min="6427" max="6427" width="27.28515625" style="15" customWidth="1"/>
    <col min="6428" max="6463" width="9.140625" style="15" customWidth="1"/>
    <col min="6464" max="6677" width="9.140625" style="15"/>
    <col min="6678" max="6678" width="18.7109375" style="15" customWidth="1"/>
    <col min="6679" max="6679" width="18.140625" style="15" customWidth="1"/>
    <col min="6680" max="6680" width="8.7109375" style="15" customWidth="1"/>
    <col min="6681" max="6681" width="9.140625" style="15"/>
    <col min="6682" max="6682" width="9.140625" style="15" customWidth="1"/>
    <col min="6683" max="6683" width="27.28515625" style="15" customWidth="1"/>
    <col min="6684" max="6719" width="9.140625" style="15" customWidth="1"/>
    <col min="6720" max="6933" width="9.140625" style="15"/>
    <col min="6934" max="6934" width="18.7109375" style="15" customWidth="1"/>
    <col min="6935" max="6935" width="18.140625" style="15" customWidth="1"/>
    <col min="6936" max="6936" width="8.7109375" style="15" customWidth="1"/>
    <col min="6937" max="6937" width="9.140625" style="15"/>
    <col min="6938" max="6938" width="9.140625" style="15" customWidth="1"/>
    <col min="6939" max="6939" width="27.28515625" style="15" customWidth="1"/>
    <col min="6940" max="6975" width="9.140625" style="15" customWidth="1"/>
    <col min="6976" max="7189" width="9.140625" style="15"/>
    <col min="7190" max="7190" width="18.7109375" style="15" customWidth="1"/>
    <col min="7191" max="7191" width="18.140625" style="15" customWidth="1"/>
    <col min="7192" max="7192" width="8.7109375" style="15" customWidth="1"/>
    <col min="7193" max="7193" width="9.140625" style="15"/>
    <col min="7194" max="7194" width="9.140625" style="15" customWidth="1"/>
    <col min="7195" max="7195" width="27.28515625" style="15" customWidth="1"/>
    <col min="7196" max="7231" width="9.140625" style="15" customWidth="1"/>
    <col min="7232" max="7445" width="9.140625" style="15"/>
    <col min="7446" max="7446" width="18.7109375" style="15" customWidth="1"/>
    <col min="7447" max="7447" width="18.140625" style="15" customWidth="1"/>
    <col min="7448" max="7448" width="8.7109375" style="15" customWidth="1"/>
    <col min="7449" max="7449" width="9.140625" style="15"/>
    <col min="7450" max="7450" width="9.140625" style="15" customWidth="1"/>
    <col min="7451" max="7451" width="27.28515625" style="15" customWidth="1"/>
    <col min="7452" max="7487" width="9.140625" style="15" customWidth="1"/>
    <col min="7488" max="7701" width="9.140625" style="15"/>
    <col min="7702" max="7702" width="18.7109375" style="15" customWidth="1"/>
    <col min="7703" max="7703" width="18.140625" style="15" customWidth="1"/>
    <col min="7704" max="7704" width="8.7109375" style="15" customWidth="1"/>
    <col min="7705" max="7705" width="9.140625" style="15"/>
    <col min="7706" max="7706" width="9.140625" style="15" customWidth="1"/>
    <col min="7707" max="7707" width="27.28515625" style="15" customWidth="1"/>
    <col min="7708" max="7743" width="9.140625" style="15" customWidth="1"/>
    <col min="7744" max="7957" width="9.140625" style="15"/>
    <col min="7958" max="7958" width="18.7109375" style="15" customWidth="1"/>
    <col min="7959" max="7959" width="18.140625" style="15" customWidth="1"/>
    <col min="7960" max="7960" width="8.7109375" style="15" customWidth="1"/>
    <col min="7961" max="7961" width="9.140625" style="15"/>
    <col min="7962" max="7962" width="9.140625" style="15" customWidth="1"/>
    <col min="7963" max="7963" width="27.28515625" style="15" customWidth="1"/>
    <col min="7964" max="7999" width="9.140625" style="15" customWidth="1"/>
    <col min="8000" max="8213" width="9.140625" style="15"/>
    <col min="8214" max="8214" width="18.7109375" style="15" customWidth="1"/>
    <col min="8215" max="8215" width="18.140625" style="15" customWidth="1"/>
    <col min="8216" max="8216" width="8.7109375" style="15" customWidth="1"/>
    <col min="8217" max="8217" width="9.140625" style="15"/>
    <col min="8218" max="8218" width="9.140625" style="15" customWidth="1"/>
    <col min="8219" max="8219" width="27.28515625" style="15" customWidth="1"/>
    <col min="8220" max="8255" width="9.140625" style="15" customWidth="1"/>
    <col min="8256" max="8469" width="9.140625" style="15"/>
    <col min="8470" max="8470" width="18.7109375" style="15" customWidth="1"/>
    <col min="8471" max="8471" width="18.140625" style="15" customWidth="1"/>
    <col min="8472" max="8472" width="8.7109375" style="15" customWidth="1"/>
    <col min="8473" max="8473" width="9.140625" style="15"/>
    <col min="8474" max="8474" width="9.140625" style="15" customWidth="1"/>
    <col min="8475" max="8475" width="27.28515625" style="15" customWidth="1"/>
    <col min="8476" max="8511" width="9.140625" style="15" customWidth="1"/>
    <col min="8512" max="8725" width="9.140625" style="15"/>
    <col min="8726" max="8726" width="18.7109375" style="15" customWidth="1"/>
    <col min="8727" max="8727" width="18.140625" style="15" customWidth="1"/>
    <col min="8728" max="8728" width="8.7109375" style="15" customWidth="1"/>
    <col min="8729" max="8729" width="9.140625" style="15"/>
    <col min="8730" max="8730" width="9.140625" style="15" customWidth="1"/>
    <col min="8731" max="8731" width="27.28515625" style="15" customWidth="1"/>
    <col min="8732" max="8767" width="9.140625" style="15" customWidth="1"/>
    <col min="8768" max="8981" width="9.140625" style="15"/>
    <col min="8982" max="8982" width="18.7109375" style="15" customWidth="1"/>
    <col min="8983" max="8983" width="18.140625" style="15" customWidth="1"/>
    <col min="8984" max="8984" width="8.7109375" style="15" customWidth="1"/>
    <col min="8985" max="8985" width="9.140625" style="15"/>
    <col min="8986" max="8986" width="9.140625" style="15" customWidth="1"/>
    <col min="8987" max="8987" width="27.28515625" style="15" customWidth="1"/>
    <col min="8988" max="9023" width="9.140625" style="15" customWidth="1"/>
    <col min="9024" max="9237" width="9.140625" style="15"/>
    <col min="9238" max="9238" width="18.7109375" style="15" customWidth="1"/>
    <col min="9239" max="9239" width="18.140625" style="15" customWidth="1"/>
    <col min="9240" max="9240" width="8.7109375" style="15" customWidth="1"/>
    <col min="9241" max="9241" width="9.140625" style="15"/>
    <col min="9242" max="9242" width="9.140625" style="15" customWidth="1"/>
    <col min="9243" max="9243" width="27.28515625" style="15" customWidth="1"/>
    <col min="9244" max="9279" width="9.140625" style="15" customWidth="1"/>
    <col min="9280" max="9493" width="9.140625" style="15"/>
    <col min="9494" max="9494" width="18.7109375" style="15" customWidth="1"/>
    <col min="9495" max="9495" width="18.140625" style="15" customWidth="1"/>
    <col min="9496" max="9496" width="8.7109375" style="15" customWidth="1"/>
    <col min="9497" max="9497" width="9.140625" style="15"/>
    <col min="9498" max="9498" width="9.140625" style="15" customWidth="1"/>
    <col min="9499" max="9499" width="27.28515625" style="15" customWidth="1"/>
    <col min="9500" max="9535" width="9.140625" style="15" customWidth="1"/>
    <col min="9536" max="9749" width="9.140625" style="15"/>
    <col min="9750" max="9750" width="18.7109375" style="15" customWidth="1"/>
    <col min="9751" max="9751" width="18.140625" style="15" customWidth="1"/>
    <col min="9752" max="9752" width="8.7109375" style="15" customWidth="1"/>
    <col min="9753" max="9753" width="9.140625" style="15"/>
    <col min="9754" max="9754" width="9.140625" style="15" customWidth="1"/>
    <col min="9755" max="9755" width="27.28515625" style="15" customWidth="1"/>
    <col min="9756" max="9791" width="9.140625" style="15" customWidth="1"/>
    <col min="9792" max="10005" width="9.140625" style="15"/>
    <col min="10006" max="10006" width="18.7109375" style="15" customWidth="1"/>
    <col min="10007" max="10007" width="18.140625" style="15" customWidth="1"/>
    <col min="10008" max="10008" width="8.7109375" style="15" customWidth="1"/>
    <col min="10009" max="10009" width="9.140625" style="15"/>
    <col min="10010" max="10010" width="9.140625" style="15" customWidth="1"/>
    <col min="10011" max="10011" width="27.28515625" style="15" customWidth="1"/>
    <col min="10012" max="10047" width="9.140625" style="15" customWidth="1"/>
    <col min="10048" max="10261" width="9.140625" style="15"/>
    <col min="10262" max="10262" width="18.7109375" style="15" customWidth="1"/>
    <col min="10263" max="10263" width="18.140625" style="15" customWidth="1"/>
    <col min="10264" max="10264" width="8.7109375" style="15" customWidth="1"/>
    <col min="10265" max="10265" width="9.140625" style="15"/>
    <col min="10266" max="10266" width="9.140625" style="15" customWidth="1"/>
    <col min="10267" max="10267" width="27.28515625" style="15" customWidth="1"/>
    <col min="10268" max="10303" width="9.140625" style="15" customWidth="1"/>
    <col min="10304" max="10517" width="9.140625" style="15"/>
    <col min="10518" max="10518" width="18.7109375" style="15" customWidth="1"/>
    <col min="10519" max="10519" width="18.140625" style="15" customWidth="1"/>
    <col min="10520" max="10520" width="8.7109375" style="15" customWidth="1"/>
    <col min="10521" max="10521" width="9.140625" style="15"/>
    <col min="10522" max="10522" width="9.140625" style="15" customWidth="1"/>
    <col min="10523" max="10523" width="27.28515625" style="15" customWidth="1"/>
    <col min="10524" max="10559" width="9.140625" style="15" customWidth="1"/>
    <col min="10560" max="10773" width="9.140625" style="15"/>
    <col min="10774" max="10774" width="18.7109375" style="15" customWidth="1"/>
    <col min="10775" max="10775" width="18.140625" style="15" customWidth="1"/>
    <col min="10776" max="10776" width="8.7109375" style="15" customWidth="1"/>
    <col min="10777" max="10777" width="9.140625" style="15"/>
    <col min="10778" max="10778" width="9.140625" style="15" customWidth="1"/>
    <col min="10779" max="10779" width="27.28515625" style="15" customWidth="1"/>
    <col min="10780" max="10815" width="9.140625" style="15" customWidth="1"/>
    <col min="10816" max="11029" width="9.140625" style="15"/>
    <col min="11030" max="11030" width="18.7109375" style="15" customWidth="1"/>
    <col min="11031" max="11031" width="18.140625" style="15" customWidth="1"/>
    <col min="11032" max="11032" width="8.7109375" style="15" customWidth="1"/>
    <col min="11033" max="11033" width="9.140625" style="15"/>
    <col min="11034" max="11034" width="9.140625" style="15" customWidth="1"/>
    <col min="11035" max="11035" width="27.28515625" style="15" customWidth="1"/>
    <col min="11036" max="11071" width="9.140625" style="15" customWidth="1"/>
    <col min="11072" max="11285" width="9.140625" style="15"/>
    <col min="11286" max="11286" width="18.7109375" style="15" customWidth="1"/>
    <col min="11287" max="11287" width="18.140625" style="15" customWidth="1"/>
    <col min="11288" max="11288" width="8.7109375" style="15" customWidth="1"/>
    <col min="11289" max="11289" width="9.140625" style="15"/>
    <col min="11290" max="11290" width="9.140625" style="15" customWidth="1"/>
    <col min="11291" max="11291" width="27.28515625" style="15" customWidth="1"/>
    <col min="11292" max="11327" width="9.140625" style="15" customWidth="1"/>
    <col min="11328" max="11541" width="9.140625" style="15"/>
    <col min="11542" max="11542" width="18.7109375" style="15" customWidth="1"/>
    <col min="11543" max="11543" width="18.140625" style="15" customWidth="1"/>
    <col min="11544" max="11544" width="8.7109375" style="15" customWidth="1"/>
    <col min="11545" max="11545" width="9.140625" style="15"/>
    <col min="11546" max="11546" width="9.140625" style="15" customWidth="1"/>
    <col min="11547" max="11547" width="27.28515625" style="15" customWidth="1"/>
    <col min="11548" max="11583" width="9.140625" style="15" customWidth="1"/>
    <col min="11584" max="11797" width="9.140625" style="15"/>
    <col min="11798" max="11798" width="18.7109375" style="15" customWidth="1"/>
    <col min="11799" max="11799" width="18.140625" style="15" customWidth="1"/>
    <col min="11800" max="11800" width="8.7109375" style="15" customWidth="1"/>
    <col min="11801" max="11801" width="9.140625" style="15"/>
    <col min="11802" max="11802" width="9.140625" style="15" customWidth="1"/>
    <col min="11803" max="11803" width="27.28515625" style="15" customWidth="1"/>
    <col min="11804" max="11839" width="9.140625" style="15" customWidth="1"/>
    <col min="11840" max="12053" width="9.140625" style="15"/>
    <col min="12054" max="12054" width="18.7109375" style="15" customWidth="1"/>
    <col min="12055" max="12055" width="18.140625" style="15" customWidth="1"/>
    <col min="12056" max="12056" width="8.7109375" style="15" customWidth="1"/>
    <col min="12057" max="12057" width="9.140625" style="15"/>
    <col min="12058" max="12058" width="9.140625" style="15" customWidth="1"/>
    <col min="12059" max="12059" width="27.28515625" style="15" customWidth="1"/>
    <col min="12060" max="12095" width="9.140625" style="15" customWidth="1"/>
    <col min="12096" max="12309" width="9.140625" style="15"/>
    <col min="12310" max="12310" width="18.7109375" style="15" customWidth="1"/>
    <col min="12311" max="12311" width="18.140625" style="15" customWidth="1"/>
    <col min="12312" max="12312" width="8.7109375" style="15" customWidth="1"/>
    <col min="12313" max="12313" width="9.140625" style="15"/>
    <col min="12314" max="12314" width="9.140625" style="15" customWidth="1"/>
    <col min="12315" max="12315" width="27.28515625" style="15" customWidth="1"/>
    <col min="12316" max="12351" width="9.140625" style="15" customWidth="1"/>
    <col min="12352" max="12565" width="9.140625" style="15"/>
    <col min="12566" max="12566" width="18.7109375" style="15" customWidth="1"/>
    <col min="12567" max="12567" width="18.140625" style="15" customWidth="1"/>
    <col min="12568" max="12568" width="8.7109375" style="15" customWidth="1"/>
    <col min="12569" max="12569" width="9.140625" style="15"/>
    <col min="12570" max="12570" width="9.140625" style="15" customWidth="1"/>
    <col min="12571" max="12571" width="27.28515625" style="15" customWidth="1"/>
    <col min="12572" max="12607" width="9.140625" style="15" customWidth="1"/>
    <col min="12608" max="12821" width="9.140625" style="15"/>
    <col min="12822" max="12822" width="18.7109375" style="15" customWidth="1"/>
    <col min="12823" max="12823" width="18.140625" style="15" customWidth="1"/>
    <col min="12824" max="12824" width="8.7109375" style="15" customWidth="1"/>
    <col min="12825" max="12825" width="9.140625" style="15"/>
    <col min="12826" max="12826" width="9.140625" style="15" customWidth="1"/>
    <col min="12827" max="12827" width="27.28515625" style="15" customWidth="1"/>
    <col min="12828" max="12863" width="9.140625" style="15" customWidth="1"/>
    <col min="12864" max="13077" width="9.140625" style="15"/>
    <col min="13078" max="13078" width="18.7109375" style="15" customWidth="1"/>
    <col min="13079" max="13079" width="18.140625" style="15" customWidth="1"/>
    <col min="13080" max="13080" width="8.7109375" style="15" customWidth="1"/>
    <col min="13081" max="13081" width="9.140625" style="15"/>
    <col min="13082" max="13082" width="9.140625" style="15" customWidth="1"/>
    <col min="13083" max="13083" width="27.28515625" style="15" customWidth="1"/>
    <col min="13084" max="13119" width="9.140625" style="15" customWidth="1"/>
    <col min="13120" max="13333" width="9.140625" style="15"/>
    <col min="13334" max="13334" width="18.7109375" style="15" customWidth="1"/>
    <col min="13335" max="13335" width="18.140625" style="15" customWidth="1"/>
    <col min="13336" max="13336" width="8.7109375" style="15" customWidth="1"/>
    <col min="13337" max="13337" width="9.140625" style="15"/>
    <col min="13338" max="13338" width="9.140625" style="15" customWidth="1"/>
    <col min="13339" max="13339" width="27.28515625" style="15" customWidth="1"/>
    <col min="13340" max="13375" width="9.140625" style="15" customWidth="1"/>
    <col min="13376" max="13589" width="9.140625" style="15"/>
    <col min="13590" max="13590" width="18.7109375" style="15" customWidth="1"/>
    <col min="13591" max="13591" width="18.140625" style="15" customWidth="1"/>
    <col min="13592" max="13592" width="8.7109375" style="15" customWidth="1"/>
    <col min="13593" max="13593" width="9.140625" style="15"/>
    <col min="13594" max="13594" width="9.140625" style="15" customWidth="1"/>
    <col min="13595" max="13595" width="27.28515625" style="15" customWidth="1"/>
    <col min="13596" max="13631" width="9.140625" style="15" customWidth="1"/>
    <col min="13632" max="13845" width="9.140625" style="15"/>
    <col min="13846" max="13846" width="18.7109375" style="15" customWidth="1"/>
    <col min="13847" max="13847" width="18.140625" style="15" customWidth="1"/>
    <col min="13848" max="13848" width="8.7109375" style="15" customWidth="1"/>
    <col min="13849" max="13849" width="9.140625" style="15"/>
    <col min="13850" max="13850" width="9.140625" style="15" customWidth="1"/>
    <col min="13851" max="13851" width="27.28515625" style="15" customWidth="1"/>
    <col min="13852" max="13887" width="9.140625" style="15" customWidth="1"/>
    <col min="13888" max="14101" width="9.140625" style="15"/>
    <col min="14102" max="14102" width="18.7109375" style="15" customWidth="1"/>
    <col min="14103" max="14103" width="18.140625" style="15" customWidth="1"/>
    <col min="14104" max="14104" width="8.7109375" style="15" customWidth="1"/>
    <col min="14105" max="14105" width="9.140625" style="15"/>
    <col min="14106" max="14106" width="9.140625" style="15" customWidth="1"/>
    <col min="14107" max="14107" width="27.28515625" style="15" customWidth="1"/>
    <col min="14108" max="14143" width="9.140625" style="15" customWidth="1"/>
    <col min="14144" max="14357" width="9.140625" style="15"/>
    <col min="14358" max="14358" width="18.7109375" style="15" customWidth="1"/>
    <col min="14359" max="14359" width="18.140625" style="15" customWidth="1"/>
    <col min="14360" max="14360" width="8.7109375" style="15" customWidth="1"/>
    <col min="14361" max="14361" width="9.140625" style="15"/>
    <col min="14362" max="14362" width="9.140625" style="15" customWidth="1"/>
    <col min="14363" max="14363" width="27.28515625" style="15" customWidth="1"/>
    <col min="14364" max="14399" width="9.140625" style="15" customWidth="1"/>
    <col min="14400" max="14613" width="9.140625" style="15"/>
    <col min="14614" max="14614" width="18.7109375" style="15" customWidth="1"/>
    <col min="14615" max="14615" width="18.140625" style="15" customWidth="1"/>
    <col min="14616" max="14616" width="8.7109375" style="15" customWidth="1"/>
    <col min="14617" max="14617" width="9.140625" style="15"/>
    <col min="14618" max="14618" width="9.140625" style="15" customWidth="1"/>
    <col min="14619" max="14619" width="27.28515625" style="15" customWidth="1"/>
    <col min="14620" max="14655" width="9.140625" style="15" customWidth="1"/>
    <col min="14656" max="14869" width="9.140625" style="15"/>
    <col min="14870" max="14870" width="18.7109375" style="15" customWidth="1"/>
    <col min="14871" max="14871" width="18.140625" style="15" customWidth="1"/>
    <col min="14872" max="14872" width="8.7109375" style="15" customWidth="1"/>
    <col min="14873" max="14873" width="9.140625" style="15"/>
    <col min="14874" max="14874" width="9.140625" style="15" customWidth="1"/>
    <col min="14875" max="14875" width="27.28515625" style="15" customWidth="1"/>
    <col min="14876" max="14911" width="9.140625" style="15" customWidth="1"/>
    <col min="14912" max="15125" width="9.140625" style="15"/>
    <col min="15126" max="15126" width="18.7109375" style="15" customWidth="1"/>
    <col min="15127" max="15127" width="18.140625" style="15" customWidth="1"/>
    <col min="15128" max="15128" width="8.7109375" style="15" customWidth="1"/>
    <col min="15129" max="15129" width="9.140625" style="15"/>
    <col min="15130" max="15130" width="9.140625" style="15" customWidth="1"/>
    <col min="15131" max="15131" width="27.28515625" style="15" customWidth="1"/>
    <col min="15132" max="15167" width="9.140625" style="15" customWidth="1"/>
    <col min="15168" max="15381" width="9.140625" style="15"/>
    <col min="15382" max="15382" width="18.7109375" style="15" customWidth="1"/>
    <col min="15383" max="15383" width="18.140625" style="15" customWidth="1"/>
    <col min="15384" max="15384" width="8.7109375" style="15" customWidth="1"/>
    <col min="15385" max="15385" width="9.140625" style="15"/>
    <col min="15386" max="15386" width="9.140625" style="15" customWidth="1"/>
    <col min="15387" max="15387" width="27.28515625" style="15" customWidth="1"/>
    <col min="15388" max="15423" width="9.140625" style="15" customWidth="1"/>
    <col min="15424" max="15637" width="9.140625" style="15"/>
    <col min="15638" max="15638" width="18.7109375" style="15" customWidth="1"/>
    <col min="15639" max="15639" width="18.140625" style="15" customWidth="1"/>
    <col min="15640" max="15640" width="8.7109375" style="15" customWidth="1"/>
    <col min="15641" max="15641" width="9.140625" style="15"/>
    <col min="15642" max="15642" width="9.140625" style="15" customWidth="1"/>
    <col min="15643" max="15643" width="27.28515625" style="15" customWidth="1"/>
    <col min="15644" max="15679" width="9.140625" style="15" customWidth="1"/>
    <col min="15680" max="15893" width="9.140625" style="15"/>
    <col min="15894" max="15894" width="18.7109375" style="15" customWidth="1"/>
    <col min="15895" max="15895" width="18.140625" style="15" customWidth="1"/>
    <col min="15896" max="15896" width="8.7109375" style="15" customWidth="1"/>
    <col min="15897" max="15897" width="9.140625" style="15"/>
    <col min="15898" max="15898" width="9.140625" style="15" customWidth="1"/>
    <col min="15899" max="15899" width="27.28515625" style="15" customWidth="1"/>
    <col min="15900" max="15935" width="9.140625" style="15" customWidth="1"/>
    <col min="15936" max="16149" width="9.140625" style="15"/>
    <col min="16150" max="16150" width="18.7109375" style="15" customWidth="1"/>
    <col min="16151" max="16151" width="18.140625" style="15" customWidth="1"/>
    <col min="16152" max="16152" width="8.7109375" style="15" customWidth="1"/>
    <col min="16153" max="16153" width="9.140625" style="15"/>
    <col min="16154" max="16154" width="9.140625" style="15" customWidth="1"/>
    <col min="16155" max="16155" width="27.28515625" style="15" customWidth="1"/>
    <col min="16156" max="16191" width="9.140625" style="15" customWidth="1"/>
    <col min="16192" max="16384" width="9.140625" style="15"/>
  </cols>
  <sheetData>
    <row r="1" spans="1:104" ht="21" customHeight="1" x14ac:dyDescent="0.25">
      <c r="C1" s="670" t="str">
        <f>НазваниеПолное</f>
        <v>Ралли "Западные ворота - 2017"</v>
      </c>
      <c r="D1" s="670"/>
      <c r="E1" s="670"/>
      <c r="F1" s="670"/>
      <c r="G1" s="670"/>
      <c r="CV1" s="284"/>
      <c r="CW1" s="284"/>
      <c r="CX1" s="284"/>
      <c r="CY1" s="284"/>
      <c r="CZ1" s="284"/>
    </row>
    <row r="2" spans="1:104" ht="21" x14ac:dyDescent="0.25">
      <c r="C2" s="672" t="s">
        <v>222</v>
      </c>
      <c r="D2" s="672"/>
      <c r="E2" s="672"/>
      <c r="F2" s="672"/>
      <c r="G2" s="672"/>
      <c r="CU2" s="284"/>
      <c r="CV2" s="284"/>
      <c r="CW2" s="284"/>
      <c r="CX2" s="284"/>
      <c r="CY2" s="284"/>
      <c r="CZ2" s="284"/>
    </row>
    <row r="3" spans="1:104" ht="9" customHeight="1" x14ac:dyDescent="0.25"/>
    <row r="4" spans="1:104" ht="18.75" x14ac:dyDescent="0.3">
      <c r="A4" s="104"/>
      <c r="B4" s="105"/>
      <c r="C4" s="695" t="s">
        <v>1</v>
      </c>
      <c r="D4" s="696"/>
      <c r="E4" s="696"/>
      <c r="F4" s="696"/>
      <c r="G4" s="696"/>
      <c r="H4" s="696"/>
      <c r="I4" s="697"/>
      <c r="J4" s="695" t="s">
        <v>71</v>
      </c>
      <c r="K4" s="697"/>
      <c r="L4" s="265" t="str">
        <f>КВ0</f>
        <v>КВ-0 Старт</v>
      </c>
      <c r="M4" s="698" t="s">
        <v>368</v>
      </c>
      <c r="N4" s="699"/>
      <c r="O4" s="695" t="str">
        <f>КВ1&amp;" (отсутствует)"</f>
        <v>КВ-1 Борщевик (отсутствует)</v>
      </c>
      <c r="P4" s="696"/>
      <c r="Q4" s="696"/>
      <c r="R4" s="697"/>
      <c r="S4" s="698" t="s">
        <v>368</v>
      </c>
      <c r="T4" s="699"/>
      <c r="U4" s="695" t="str">
        <f>КВ2</f>
        <v>КВ-2 ПКАД</v>
      </c>
      <c r="V4" s="696"/>
      <c r="W4" s="696"/>
      <c r="X4" s="696"/>
      <c r="Y4" s="698" t="s">
        <v>368</v>
      </c>
      <c r="Z4" s="699"/>
      <c r="AA4" s="695" t="str">
        <f>КВ3</f>
        <v>КВ-3 Финиш</v>
      </c>
      <c r="AB4" s="696"/>
      <c r="AC4" s="696"/>
      <c r="AD4" s="696"/>
      <c r="AE4" s="696"/>
      <c r="AF4" s="695" t="str">
        <f>ВКП1</f>
        <v>ВКП-1</v>
      </c>
      <c r="AG4" s="697"/>
      <c r="AH4" s="695" t="str">
        <f>ВКВ1</f>
        <v>ВКВ-1</v>
      </c>
      <c r="AI4" s="696"/>
      <c r="AJ4" s="696"/>
      <c r="AK4" s="696"/>
      <c r="AL4" s="696"/>
      <c r="AM4" s="696"/>
      <c r="AN4" s="697"/>
      <c r="AO4" s="700" t="str">
        <f>ДС1</f>
        <v>ДС-1 РД</v>
      </c>
      <c r="AP4" s="701"/>
      <c r="AQ4" s="701"/>
      <c r="AR4" s="701"/>
      <c r="AS4" s="701"/>
      <c r="AT4" s="701"/>
      <c r="AU4" s="701"/>
      <c r="AV4" s="701"/>
      <c r="AW4" s="702"/>
      <c r="AX4" s="700" t="str">
        <f>ДС2</f>
        <v>ДС-2 РУ</v>
      </c>
      <c r="AY4" s="701"/>
      <c r="AZ4" s="701"/>
      <c r="BA4" s="701"/>
      <c r="BB4" s="701"/>
      <c r="BC4" s="701"/>
      <c r="BD4" s="701"/>
      <c r="BE4" s="701"/>
      <c r="BF4" s="701"/>
      <c r="BG4" s="702"/>
      <c r="BH4" s="700" t="str">
        <f>ДС3</f>
        <v>ДС-3 РУ</v>
      </c>
      <c r="BI4" s="701"/>
      <c r="BJ4" s="701"/>
      <c r="BK4" s="701"/>
      <c r="BL4" s="701"/>
      <c r="BM4" s="701"/>
      <c r="BN4" s="701"/>
      <c r="BO4" s="701"/>
      <c r="BP4" s="701"/>
      <c r="BQ4" s="702"/>
      <c r="BR4" s="700" t="str">
        <f>ДС4</f>
        <v>ДС-4 РД</v>
      </c>
      <c r="BS4" s="701"/>
      <c r="BT4" s="701"/>
      <c r="BU4" s="701"/>
      <c r="BV4" s="701"/>
      <c r="BW4" s="701"/>
      <c r="BX4" s="701"/>
      <c r="BY4" s="701"/>
      <c r="BZ4" s="702"/>
      <c r="CA4" s="700" t="str">
        <f>ДС5</f>
        <v>ДС-5 РД</v>
      </c>
      <c r="CB4" s="701"/>
      <c r="CC4" s="701"/>
      <c r="CD4" s="701"/>
      <c r="CE4" s="701"/>
      <c r="CF4" s="701"/>
      <c r="CG4" s="701"/>
      <c r="CH4" s="701"/>
      <c r="CI4" s="702"/>
      <c r="CJ4" s="700" t="str">
        <f>ДС6</f>
        <v>ДС-6 СЛ</v>
      </c>
      <c r="CK4" s="701"/>
      <c r="CL4" s="701"/>
      <c r="CM4" s="701"/>
      <c r="CN4" s="701"/>
      <c r="CO4" s="701"/>
      <c r="CP4" s="701"/>
      <c r="CQ4" s="701"/>
      <c r="CR4" s="701"/>
      <c r="CS4" s="701"/>
      <c r="CT4" s="702"/>
      <c r="CU4" s="700" t="s">
        <v>52</v>
      </c>
      <c r="CV4" s="701"/>
      <c r="CW4" s="701"/>
      <c r="CX4" s="702"/>
      <c r="CY4" s="700" t="s">
        <v>378</v>
      </c>
      <c r="CZ4" s="702"/>
    </row>
    <row r="5" spans="1:104" s="438" customFormat="1" ht="108" x14ac:dyDescent="0.2">
      <c r="A5" s="428" t="s">
        <v>18</v>
      </c>
      <c r="B5" s="429" t="s">
        <v>19</v>
      </c>
      <c r="C5" s="421" t="s">
        <v>177</v>
      </c>
      <c r="D5" s="422" t="s">
        <v>20</v>
      </c>
      <c r="E5" s="422" t="s">
        <v>21</v>
      </c>
      <c r="F5" s="422" t="s">
        <v>22</v>
      </c>
      <c r="G5" s="422" t="s">
        <v>23</v>
      </c>
      <c r="H5" s="430" t="s">
        <v>212</v>
      </c>
      <c r="I5" s="431" t="s">
        <v>51</v>
      </c>
      <c r="J5" s="432" t="s">
        <v>125</v>
      </c>
      <c r="K5" s="424" t="s">
        <v>72</v>
      </c>
      <c r="L5" s="433" t="s">
        <v>366</v>
      </c>
      <c r="M5" s="434" t="s">
        <v>34</v>
      </c>
      <c r="N5" s="424" t="s">
        <v>213</v>
      </c>
      <c r="O5" s="421" t="s">
        <v>122</v>
      </c>
      <c r="P5" s="422" t="s">
        <v>366</v>
      </c>
      <c r="Q5" s="422" t="s">
        <v>214</v>
      </c>
      <c r="R5" s="423" t="s">
        <v>25</v>
      </c>
      <c r="S5" s="421" t="s">
        <v>34</v>
      </c>
      <c r="T5" s="439" t="s">
        <v>369</v>
      </c>
      <c r="U5" s="425" t="s">
        <v>122</v>
      </c>
      <c r="V5" s="426" t="s">
        <v>366</v>
      </c>
      <c r="W5" s="426" t="s">
        <v>214</v>
      </c>
      <c r="X5" s="423" t="s">
        <v>25</v>
      </c>
      <c r="Y5" s="421" t="s">
        <v>34</v>
      </c>
      <c r="Z5" s="424" t="s">
        <v>369</v>
      </c>
      <c r="AA5" s="425" t="s">
        <v>421</v>
      </c>
      <c r="AB5" s="422" t="s">
        <v>211</v>
      </c>
      <c r="AC5" s="426" t="s">
        <v>366</v>
      </c>
      <c r="AD5" s="426" t="s">
        <v>214</v>
      </c>
      <c r="AE5" s="423" t="s">
        <v>25</v>
      </c>
      <c r="AF5" s="421" t="s">
        <v>383</v>
      </c>
      <c r="AG5" s="431" t="s">
        <v>25</v>
      </c>
      <c r="AH5" s="421" t="s">
        <v>34</v>
      </c>
      <c r="AI5" s="422" t="s">
        <v>211</v>
      </c>
      <c r="AJ5" s="422" t="s">
        <v>122</v>
      </c>
      <c r="AK5" s="422" t="s">
        <v>366</v>
      </c>
      <c r="AL5" s="422" t="s">
        <v>367</v>
      </c>
      <c r="AM5" s="422" t="s">
        <v>24</v>
      </c>
      <c r="AN5" s="431" t="s">
        <v>25</v>
      </c>
      <c r="AO5" s="271" t="s">
        <v>375</v>
      </c>
      <c r="AP5" s="269" t="s">
        <v>91</v>
      </c>
      <c r="AQ5" s="269" t="s">
        <v>92</v>
      </c>
      <c r="AR5" s="269" t="s">
        <v>124</v>
      </c>
      <c r="AS5" s="269" t="s">
        <v>27</v>
      </c>
      <c r="AT5" s="269" t="s">
        <v>28</v>
      </c>
      <c r="AU5" s="269" t="s">
        <v>29</v>
      </c>
      <c r="AV5" s="269" t="s">
        <v>371</v>
      </c>
      <c r="AW5" s="435" t="s">
        <v>25</v>
      </c>
      <c r="AX5" s="271" t="s">
        <v>375</v>
      </c>
      <c r="AY5" s="269" t="s">
        <v>91</v>
      </c>
      <c r="AZ5" s="269" t="s">
        <v>92</v>
      </c>
      <c r="BA5" s="269" t="s">
        <v>376</v>
      </c>
      <c r="BB5" s="269" t="s">
        <v>124</v>
      </c>
      <c r="BC5" s="269" t="s">
        <v>27</v>
      </c>
      <c r="BD5" s="269" t="s">
        <v>28</v>
      </c>
      <c r="BE5" s="269" t="s">
        <v>29</v>
      </c>
      <c r="BF5" s="269" t="s">
        <v>26</v>
      </c>
      <c r="BG5" s="435" t="s">
        <v>25</v>
      </c>
      <c r="BH5" s="271" t="s">
        <v>375</v>
      </c>
      <c r="BI5" s="269" t="s">
        <v>91</v>
      </c>
      <c r="BJ5" s="269" t="s">
        <v>92</v>
      </c>
      <c r="BK5" s="269" t="s">
        <v>376</v>
      </c>
      <c r="BL5" s="269" t="s">
        <v>124</v>
      </c>
      <c r="BM5" s="269" t="s">
        <v>27</v>
      </c>
      <c r="BN5" s="269" t="s">
        <v>28</v>
      </c>
      <c r="BO5" s="269" t="s">
        <v>29</v>
      </c>
      <c r="BP5" s="269" t="s">
        <v>26</v>
      </c>
      <c r="BQ5" s="435" t="s">
        <v>25</v>
      </c>
      <c r="BR5" s="271" t="s">
        <v>375</v>
      </c>
      <c r="BS5" s="269" t="s">
        <v>91</v>
      </c>
      <c r="BT5" s="269" t="s">
        <v>92</v>
      </c>
      <c r="BU5" s="269" t="s">
        <v>124</v>
      </c>
      <c r="BV5" s="269" t="s">
        <v>27</v>
      </c>
      <c r="BW5" s="269" t="s">
        <v>28</v>
      </c>
      <c r="BX5" s="269" t="s">
        <v>29</v>
      </c>
      <c r="BY5" s="269" t="s">
        <v>371</v>
      </c>
      <c r="BZ5" s="435" t="s">
        <v>25</v>
      </c>
      <c r="CA5" s="271" t="s">
        <v>375</v>
      </c>
      <c r="CB5" s="269" t="s">
        <v>91</v>
      </c>
      <c r="CC5" s="269" t="s">
        <v>92</v>
      </c>
      <c r="CD5" s="269" t="s">
        <v>124</v>
      </c>
      <c r="CE5" s="269" t="s">
        <v>27</v>
      </c>
      <c r="CF5" s="269" t="s">
        <v>28</v>
      </c>
      <c r="CG5" s="269" t="s">
        <v>29</v>
      </c>
      <c r="CH5" s="269" t="s">
        <v>371</v>
      </c>
      <c r="CI5" s="435" t="s">
        <v>25</v>
      </c>
      <c r="CJ5" s="271" t="s">
        <v>375</v>
      </c>
      <c r="CK5" s="269" t="s">
        <v>50</v>
      </c>
      <c r="CL5" s="269" t="s">
        <v>121</v>
      </c>
      <c r="CM5" s="269" t="s">
        <v>370</v>
      </c>
      <c r="CN5" s="269" t="s">
        <v>380</v>
      </c>
      <c r="CO5" s="269" t="s">
        <v>123</v>
      </c>
      <c r="CP5" s="269" t="s">
        <v>371</v>
      </c>
      <c r="CQ5" s="269" t="s">
        <v>373</v>
      </c>
      <c r="CR5" s="269" t="s">
        <v>372</v>
      </c>
      <c r="CS5" s="269" t="s">
        <v>374</v>
      </c>
      <c r="CT5" s="435" t="s">
        <v>25</v>
      </c>
      <c r="CU5" s="271" t="s">
        <v>28</v>
      </c>
      <c r="CV5" s="269" t="s">
        <v>377</v>
      </c>
      <c r="CW5" s="436" t="s">
        <v>188</v>
      </c>
      <c r="CX5" s="437" t="s">
        <v>25</v>
      </c>
      <c r="CY5" s="436" t="s">
        <v>379</v>
      </c>
      <c r="CZ5" s="437" t="s">
        <v>25</v>
      </c>
    </row>
    <row r="6" spans="1:104" x14ac:dyDescent="0.25">
      <c r="A6" s="427">
        <f t="shared" ref="A6:A22" si="0">_xlfn.RANK.EQ(I6,$I$6:$I$22,1)</f>
        <v>1</v>
      </c>
      <c r="B6" s="122">
        <v>3</v>
      </c>
      <c r="C6" s="123" t="s">
        <v>144</v>
      </c>
      <c r="D6" s="123" t="s">
        <v>128</v>
      </c>
      <c r="E6" s="123" t="s">
        <v>145</v>
      </c>
      <c r="F6" s="123" t="s">
        <v>146</v>
      </c>
      <c r="G6" s="122" t="s">
        <v>31</v>
      </c>
      <c r="H6" s="124"/>
      <c r="I6" s="450">
        <f>SUM(J6:J6)+SUM(CX6:CX6)+SUM(CZ6:CZ6)+SUM(R6:R6)+SUM(X6:X6)+SUM(AE6:AE6)+SUM(AG6:AG6)+SUM(AN6:AN6)+SUM(AW6:AW6)+SUM(BG6:BG6)+SUM(BQ6:BQ6)+SUM(BZ6:BZ6)+SUM(CI6:CI6)+SUM(CT6:CT6)</f>
        <v>4368</v>
      </c>
      <c r="J6" s="281"/>
      <c r="K6" s="138"/>
      <c r="L6" s="264">
        <v>0.41875000000000001</v>
      </c>
      <c r="M6" s="258">
        <f t="shared" ref="M6:M34" si="1">КВ1Время</f>
        <v>105</v>
      </c>
      <c r="N6" s="279">
        <f t="shared" ref="N6:N34" si="2">AQ6+AZ6</f>
        <v>0</v>
      </c>
      <c r="O6" s="259">
        <f t="shared" ref="O6:O34" si="3">L6+M6/1440</f>
        <v>0.4916666666666667</v>
      </c>
      <c r="P6" s="263">
        <f t="shared" ref="P6:P34" si="4">O6</f>
        <v>0.4916666666666667</v>
      </c>
      <c r="Q6" s="128">
        <f t="shared" ref="Q6:Q34" si="5">IF(NOT(ISBLANK(P6)),ROUND((P6-O6)*1440,0),"")</f>
        <v>0</v>
      </c>
      <c r="R6" s="266">
        <f t="shared" ref="R6:R34" si="6">IF(NOT(ISBLANK(P6)),ABS(IF(O6&gt;P6,IF(Q6=-1,0,Q6*ШтрафОпережениеНаКВ),IF(Q6&gt;N6,(Q6-N6)*ШтрафОпозданиеНаКВ,0))),ШтрафПропускКВ)</f>
        <v>0</v>
      </c>
      <c r="S6" s="136">
        <f t="shared" ref="S6:S34" si="7">КВ2Время</f>
        <v>140</v>
      </c>
      <c r="T6" s="280">
        <f t="shared" ref="T6:T34" si="8">BJ6+BT6</f>
        <v>0</v>
      </c>
      <c r="U6" s="260">
        <f t="shared" ref="U6:U34" si="9">IF(NOT(ISBLANK(P6)),P6+S6/1440,O6+S6/1440)</f>
        <v>0.58888888888888891</v>
      </c>
      <c r="V6" s="261">
        <v>0.59027777777777779</v>
      </c>
      <c r="W6" s="262">
        <f t="shared" ref="W6:W34" si="10">IF(NOT(ISBLANK(V6)),ROUND((V6-U6)*1440,0),"")</f>
        <v>2</v>
      </c>
      <c r="X6" s="267">
        <f t="shared" ref="X6:X34" si="11">IF(NOT(ISBLANK(V6)),ABS(IF(U6&gt;V6,IF(W6=-1,0,W6*ШтрафОпережениеНаКВ),IF(W6&gt;T6,(W6-T6)*ШтрафОпозданиеНаКВ,0))),ШтрафПропускКВ)</f>
        <v>120</v>
      </c>
      <c r="Y6" s="136">
        <f t="shared" ref="Y6:Y34" si="12">КВ3Время</f>
        <v>95</v>
      </c>
      <c r="Z6" s="280">
        <f t="shared" ref="Z6:Z34" si="13">CC6</f>
        <v>0</v>
      </c>
      <c r="AA6" s="260">
        <f t="shared" ref="AA6:AA34" si="14">IF(NOT(ISBLANK(CB6)),CB6+Y6/1440,U6+Y6/1440)</f>
        <v>0.65763888888888888</v>
      </c>
      <c r="AB6" s="128">
        <f t="shared" ref="AB6:AB34" si="15">ROUNDUP(Y6/10,0)</f>
        <v>10</v>
      </c>
      <c r="AC6" s="261">
        <v>0.67291666666666661</v>
      </c>
      <c r="AD6" s="262">
        <f t="shared" ref="AD6:AD34" si="16">IF(NOT(ISBLANK(AC6)),ROUND((AC6-AA6)*1440,0),"")</f>
        <v>22</v>
      </c>
      <c r="AE6" s="266">
        <f t="shared" ref="AE6:AE34" si="17">IF(NOT(ISBLANK(AC6)),ABS(IF(AA6&gt;AC6,IF(-AD6&lt;=AB6,0,AD6*ШтрафОпережениеНаКВ),IF(AD6&gt;Z6,(AD6-Z6)*ШтрафОпозданиеНаКВ,0))),ШтрафПропускКВ)</f>
        <v>1320</v>
      </c>
      <c r="AF6" s="261" t="s">
        <v>430</v>
      </c>
      <c r="AG6" s="266">
        <f t="shared" ref="AG6:AG34" si="18">IF(NOT(ISBLANK(AF6)),0,ШтрафПропускКП)</f>
        <v>0</v>
      </c>
      <c r="AH6" s="136">
        <f t="shared" ref="AH6:AH34" si="19">ROUNDDOWN(ВКВ1Расстояние/КВ2Скорость*60,0)</f>
        <v>0</v>
      </c>
      <c r="AI6" s="128">
        <f t="shared" ref="AI6:AI34" si="20">ROUNDUP(AH6/10,0)</f>
        <v>0</v>
      </c>
      <c r="AJ6" s="129">
        <f t="shared" ref="AJ6:AJ34" si="21">IF(NOT(ISBLANK(P6)),P6+AH6/1440,O6+AH6/1440)</f>
        <v>0.4916666666666667</v>
      </c>
      <c r="AK6" s="137">
        <v>0.4916666666666667</v>
      </c>
      <c r="AL6" s="134"/>
      <c r="AM6" s="128">
        <f t="shared" ref="AM6:AM34" si="22">ROUND((AK6-AJ6)*1440,0)</f>
        <v>0</v>
      </c>
      <c r="AN6" s="268">
        <f t="shared" ref="AN6:AN34" si="23">IF(NOT(ISBLANK(AK6)),IF(AM6&gt;=0,0,IF(-AM6&lt;=AI6,0,-(AM6+AI6)*ШтрафОпережениеНаВКВ))+IF(NOT(ISBLANK(AL6)),ШтрафОтсутсвиеОтметкиНаВКВ,0),"!!!ВРУЧНУЮ!!!")</f>
        <v>0</v>
      </c>
      <c r="AO6" s="278"/>
      <c r="AP6" s="103">
        <f t="shared" ref="AP6:AP34" si="24">L6</f>
        <v>0.41875000000000001</v>
      </c>
      <c r="AQ6" s="132">
        <f t="shared" ref="AQ6:AQ34" si="25">IF(ISBLANK(AO6),0,ROUND((AP6-AO6)*1440,0))</f>
        <v>0</v>
      </c>
      <c r="AR6" s="128">
        <v>2503</v>
      </c>
      <c r="AS6" s="103">
        <f t="shared" ref="AS6:AS34" si="26">AP6+AR6/86400</f>
        <v>0.44771990740740741</v>
      </c>
      <c r="AT6" s="135">
        <v>0.45287037037037042</v>
      </c>
      <c r="AU6" s="133">
        <f t="shared" ref="AU6:AU34" si="27">ROUND((AT6-AS6)*86400,0)</f>
        <v>445</v>
      </c>
      <c r="AV6" s="135"/>
      <c r="AW6" s="270">
        <f>IF(NOT(OR(ISBLANK(AP6),ISBLANK(AT6))),ABS(AU6)*ШтрафОпережениеОтставаниеНаРД+IF(ISBLANK(AV6),0,ШтрафФальстартНаДС),"!!!ВРУЧНУЮ!!!")</f>
        <v>445</v>
      </c>
      <c r="AX6" s="127"/>
      <c r="AY6" s="130">
        <v>0.4777777777777778</v>
      </c>
      <c r="AZ6" s="132">
        <f t="shared" ref="AZ6:AZ34" si="28">IF(ISBLANK(AX6),0,ROUND((AY6-AX6)*1440,0))</f>
        <v>0</v>
      </c>
      <c r="BA6" s="128">
        <f t="shared" ref="BA6:BA34" si="29">ДС2Мин</f>
        <v>409</v>
      </c>
      <c r="BB6" s="128">
        <f t="shared" ref="BB6:BB34" si="30">ДС2Время</f>
        <v>570</v>
      </c>
      <c r="BC6" s="103">
        <f t="shared" ref="BC6:BC34" si="31">AY6+BB6/86400</f>
        <v>0.484375</v>
      </c>
      <c r="BD6" s="135">
        <v>0.48356481481481484</v>
      </c>
      <c r="BE6" s="133">
        <f t="shared" ref="BE6:BE34" si="32">ROUND((BD6-BC6)*86400,0)</f>
        <v>-70</v>
      </c>
      <c r="BF6" s="134"/>
      <c r="BG6" s="270">
        <f t="shared" ref="BG6:BG34" si="33">IF(NOT(OR(ISBLANK(AY6),ISBLANK(BD6))),IF(BE6&lt;0,IF(-BE6&lt;=BB6-BA6,0,ШтрафОпережениеНаРУ),BE6*ШтрафОтставаниеНаРУ)+IF(ISBLANK(BF6),0,ШтрафФальстартНаДС),"!!!ВРУЧНУЮ!!!")</f>
        <v>0</v>
      </c>
      <c r="BH6" s="127"/>
      <c r="BI6" s="130"/>
      <c r="BJ6" s="132">
        <f t="shared" ref="BJ6:BJ34" si="34">IF(ISBLANK(BH6),0,ROUND((BI6-BH6)*1440,0))</f>
        <v>0</v>
      </c>
      <c r="BK6" s="128">
        <f t="shared" ref="BK6:BK34" si="35">ДС3Мин</f>
        <v>455</v>
      </c>
      <c r="BL6" s="128">
        <f t="shared" ref="BL6:BL34" si="36">ДС3Время</f>
        <v>670</v>
      </c>
      <c r="BM6" s="103">
        <f t="shared" ref="BM6:BM34" si="37">BI6+BL6/86400</f>
        <v>7.7546296296296295E-3</v>
      </c>
      <c r="BN6" s="442">
        <v>0.52400462962962957</v>
      </c>
      <c r="BO6" s="133">
        <f t="shared" ref="BO6:BO34" si="38">ROUND((BN6-BM6)*86400,0)</f>
        <v>44604</v>
      </c>
      <c r="BP6" s="134"/>
      <c r="BQ6" s="441">
        <f>BQ20*1.1</f>
        <v>198.00000000000003</v>
      </c>
      <c r="BR6" s="127"/>
      <c r="BS6" s="130">
        <v>0.55555555555555558</v>
      </c>
      <c r="BT6" s="132">
        <f t="shared" ref="BT6:BT34" si="39">IF(ISBLANK(BR6),0,ROUND((BS6-BR6)*1440,0))</f>
        <v>0</v>
      </c>
      <c r="BU6" s="128">
        <f t="shared" ref="BU6:BU34" si="40">ДС4Время</f>
        <v>1936</v>
      </c>
      <c r="BV6" s="103">
        <f t="shared" ref="BV6:BV34" si="41">BS6+BU6/86400</f>
        <v>0.57796296296296301</v>
      </c>
      <c r="BW6" s="135">
        <v>0.57155092592592593</v>
      </c>
      <c r="BX6" s="133">
        <f t="shared" ref="BX6:BX34" si="42">ROUND((BW6-BV6)*86400,0)</f>
        <v>-554</v>
      </c>
      <c r="BY6" s="134"/>
      <c r="BZ6" s="270">
        <f t="shared" ref="BZ6:BZ24" si="43">IF(NOT(OR(ISBLANK(BS6),ISBLANK(BW6))),ABS(BX6)*ШтрафОпережениеОтставаниеНаРД+IF(ISBLANK(BY6),0,ШтрафФальстартНаДС),"!!!ВРУЧНУЮ!!!")</f>
        <v>554</v>
      </c>
      <c r="CA6" s="278"/>
      <c r="CB6" s="130">
        <v>0.59166666666666667</v>
      </c>
      <c r="CC6" s="132">
        <f t="shared" ref="CC6:CC34" si="44">IF(ISBLANK(CA6),0,ROUND((CB6-CA6)*1440,0))</f>
        <v>0</v>
      </c>
      <c r="CD6" s="128">
        <f t="shared" ref="CD6:CD34" si="45">ДС5Время</f>
        <v>1899</v>
      </c>
      <c r="CE6" s="103">
        <f t="shared" ref="CE6:CE34" si="46">CB6+CD6/86400</f>
        <v>0.61364583333333333</v>
      </c>
      <c r="CF6" s="135">
        <v>0.61383101851851851</v>
      </c>
      <c r="CG6" s="133">
        <f t="shared" ref="CG6:CG34" si="47">ROUND((CF6-CE6)*86400,0)</f>
        <v>16</v>
      </c>
      <c r="CH6" s="134"/>
      <c r="CI6" s="270">
        <f t="shared" ref="CI6:CI12" si="48">IF(NOT(OR(ISBLANK(CB6),ISBLANK(CF6))),ABS(CG6)*ШтрафОпережениеОтставаниеНаРД+IF(ISBLANK(CH6),0,ШтрафФальстартНаДС),"!!!ВРУЧНУЮ!!!")</f>
        <v>16</v>
      </c>
      <c r="CJ6" s="278"/>
      <c r="CK6" s="263">
        <f t="shared" ref="CK6:CK34" si="49">AC6</f>
        <v>0.67291666666666661</v>
      </c>
      <c r="CL6" s="132">
        <f t="shared" ref="CL6:CL34" si="50">IF(ISBLANK(CJ6),0,ROUND((CK6-CJ6)*1440,0))</f>
        <v>0</v>
      </c>
      <c r="CM6" s="131">
        <v>60</v>
      </c>
      <c r="CN6" s="440">
        <v>99.47</v>
      </c>
      <c r="CO6" s="147">
        <f t="shared" ref="CO6:CO34" si="51">ROUND(CN6-CM6,1)</f>
        <v>39.5</v>
      </c>
      <c r="CP6" s="134"/>
      <c r="CQ6" s="134"/>
      <c r="CR6" s="134"/>
      <c r="CS6" s="134"/>
      <c r="CT6" s="270">
        <f t="shared" ref="CT6:CT34" si="52">IF(NOT(ISBLANK(CK6)),(CO6+IF(ISBLANK(CP6),0,ШтрафФальстартНаДС)+CQ6*ШтрафСбитыйКонусНаСЛ+IF(ISBLANK(CR6),0,ШтрафНеостановкаБазойНаСЛ)+CS6*ШтрафПроездСЛНеПоСхеме)*СЛКоэффициент,"!!!ВРУЧНУЮ!!!")</f>
        <v>395</v>
      </c>
      <c r="CU6" s="451" t="s">
        <v>572</v>
      </c>
      <c r="CV6" s="126" t="s">
        <v>569</v>
      </c>
      <c r="CW6" s="452">
        <v>11</v>
      </c>
      <c r="CX6" s="282">
        <f t="shared" ref="CX6:CX34" si="53">CW6*ШтрафБуква</f>
        <v>1320</v>
      </c>
      <c r="CY6" s="283">
        <v>0</v>
      </c>
      <c r="CZ6" s="282">
        <f t="shared" ref="CZ6:CZ34" si="54">CY6*ШтрафВскрытыйКонверт</f>
        <v>0</v>
      </c>
    </row>
    <row r="7" spans="1:104" x14ac:dyDescent="0.25">
      <c r="A7" s="427">
        <f t="shared" si="0"/>
        <v>2</v>
      </c>
      <c r="B7" s="122">
        <v>33</v>
      </c>
      <c r="C7" s="123" t="s">
        <v>563</v>
      </c>
      <c r="D7" s="123" t="s">
        <v>564</v>
      </c>
      <c r="E7" s="123" t="s">
        <v>565</v>
      </c>
      <c r="F7" s="123" t="s">
        <v>566</v>
      </c>
      <c r="G7" s="122" t="s">
        <v>31</v>
      </c>
      <c r="H7" s="124"/>
      <c r="I7" s="450">
        <f t="shared" ref="I7:I34" si="55">SUM(J7:J7)+SUM(CX7:CX7)+SUM(CZ7:CZ7)+SUM(R7:R7)+SUM(X7:X7)+SUM(AE7:AE7)+SUM(AG7:AG7)+SUM(AN7:AN7)+SUM(AW7:AW7)+SUM(BG7:BG7)+SUM(BQ7:BQ7)+SUM(BZ7:BZ7)+SUM(CI7:CI7)+SUM(CT7:CT7)</f>
        <v>5158</v>
      </c>
      <c r="J7" s="281"/>
      <c r="K7" s="138"/>
      <c r="L7" s="264">
        <v>0.43888888888888888</v>
      </c>
      <c r="M7" s="258">
        <f t="shared" si="1"/>
        <v>105</v>
      </c>
      <c r="N7" s="279">
        <f t="shared" si="2"/>
        <v>0</v>
      </c>
      <c r="O7" s="259">
        <f t="shared" si="3"/>
        <v>0.51180555555555551</v>
      </c>
      <c r="P7" s="263">
        <f t="shared" si="4"/>
        <v>0.51180555555555551</v>
      </c>
      <c r="Q7" s="128">
        <f t="shared" si="5"/>
        <v>0</v>
      </c>
      <c r="R7" s="266">
        <f t="shared" si="6"/>
        <v>0</v>
      </c>
      <c r="S7" s="136">
        <f t="shared" si="7"/>
        <v>140</v>
      </c>
      <c r="T7" s="280">
        <f t="shared" si="8"/>
        <v>2</v>
      </c>
      <c r="U7" s="260">
        <f t="shared" si="9"/>
        <v>0.60902777777777772</v>
      </c>
      <c r="V7" s="261">
        <v>0.61041666666666672</v>
      </c>
      <c r="W7" s="262">
        <f t="shared" si="10"/>
        <v>2</v>
      </c>
      <c r="X7" s="267">
        <f t="shared" si="11"/>
        <v>0</v>
      </c>
      <c r="Y7" s="136">
        <f t="shared" si="12"/>
        <v>95</v>
      </c>
      <c r="Z7" s="280">
        <f t="shared" si="13"/>
        <v>0</v>
      </c>
      <c r="AA7" s="260">
        <f t="shared" si="14"/>
        <v>0.67777777777777781</v>
      </c>
      <c r="AB7" s="128">
        <f t="shared" si="15"/>
        <v>10</v>
      </c>
      <c r="AC7" s="261">
        <v>0.68472222222222223</v>
      </c>
      <c r="AD7" s="262">
        <f t="shared" si="16"/>
        <v>10</v>
      </c>
      <c r="AE7" s="266">
        <f t="shared" si="17"/>
        <v>600</v>
      </c>
      <c r="AF7" s="261" t="s">
        <v>430</v>
      </c>
      <c r="AG7" s="266">
        <f t="shared" si="18"/>
        <v>0</v>
      </c>
      <c r="AH7" s="136">
        <f t="shared" si="19"/>
        <v>0</v>
      </c>
      <c r="AI7" s="128">
        <f t="shared" si="20"/>
        <v>0</v>
      </c>
      <c r="AJ7" s="129">
        <f t="shared" si="21"/>
        <v>0.51180555555555551</v>
      </c>
      <c r="AK7" s="137">
        <v>0.51250000000000007</v>
      </c>
      <c r="AL7" s="134"/>
      <c r="AM7" s="128">
        <f t="shared" si="22"/>
        <v>1</v>
      </c>
      <c r="AN7" s="268">
        <f t="shared" si="23"/>
        <v>0</v>
      </c>
      <c r="AO7" s="278"/>
      <c r="AP7" s="103">
        <f t="shared" si="24"/>
        <v>0.43888888888888888</v>
      </c>
      <c r="AQ7" s="132">
        <f t="shared" si="25"/>
        <v>0</v>
      </c>
      <c r="AR7" s="128">
        <f t="shared" ref="AR7:AR34" si="56">ДС1Время</f>
        <v>2503</v>
      </c>
      <c r="AS7" s="103">
        <f t="shared" si="26"/>
        <v>0.46785879629629629</v>
      </c>
      <c r="AT7" s="717">
        <v>0.47587962962962965</v>
      </c>
      <c r="AU7" s="133">
        <f t="shared" si="27"/>
        <v>693</v>
      </c>
      <c r="AV7" s="135"/>
      <c r="AW7" s="270">
        <f>IF(NOT(OR(ISBLANK(AP7),ISBLANK(AT7))),ABS(AU7)*ШтрафОпережениеОтставаниеНаРД+IF(ISBLANK(AV7),0,ШтрафФальстартНаДС),"!!!ВРУЧНУЮ!!!")</f>
        <v>693</v>
      </c>
      <c r="AX7" s="127"/>
      <c r="AY7" s="130">
        <v>0.4916666666666667</v>
      </c>
      <c r="AZ7" s="132">
        <f t="shared" si="28"/>
        <v>0</v>
      </c>
      <c r="BA7" s="128">
        <f t="shared" si="29"/>
        <v>409</v>
      </c>
      <c r="BB7" s="128">
        <f t="shared" si="30"/>
        <v>570</v>
      </c>
      <c r="BC7" s="103">
        <f t="shared" si="31"/>
        <v>0.4982638888888889</v>
      </c>
      <c r="BD7" s="135">
        <v>0.49834490740740739</v>
      </c>
      <c r="BE7" s="133">
        <f t="shared" si="32"/>
        <v>7</v>
      </c>
      <c r="BF7" s="134"/>
      <c r="BG7" s="270">
        <f t="shared" si="33"/>
        <v>7</v>
      </c>
      <c r="BH7" s="127">
        <v>0.54375000000000007</v>
      </c>
      <c r="BI7" s="130">
        <v>0.54513888888888895</v>
      </c>
      <c r="BJ7" s="132">
        <f t="shared" si="34"/>
        <v>2</v>
      </c>
      <c r="BK7" s="128">
        <f t="shared" si="35"/>
        <v>455</v>
      </c>
      <c r="BL7" s="128">
        <f t="shared" si="36"/>
        <v>670</v>
      </c>
      <c r="BM7" s="103">
        <f t="shared" si="37"/>
        <v>0.55289351851851853</v>
      </c>
      <c r="BN7" s="135">
        <v>0.55249999999999999</v>
      </c>
      <c r="BO7" s="133">
        <f t="shared" si="38"/>
        <v>-34</v>
      </c>
      <c r="BP7" s="134"/>
      <c r="BQ7" s="270">
        <f t="shared" ref="BQ7:BQ34" si="57">IF(NOT(OR(ISBLANK(BI7),ISBLANK(BN7))),IF(BO7&lt;0,IF(-BO7&lt;=BL7-BK7,0,ШтрафОпережениеНаРУ),BO7*ШтрафОтставаниеНаРУ)+IF(ISBLANK(BP7),0,ШтрафФальстартНаДС),"!!!ВРУЧНУЮ!!!")</f>
        <v>0</v>
      </c>
      <c r="BR7" s="127"/>
      <c r="BS7" s="130">
        <v>0.57916666666666672</v>
      </c>
      <c r="BT7" s="132">
        <f t="shared" si="39"/>
        <v>0</v>
      </c>
      <c r="BU7" s="128">
        <f t="shared" si="40"/>
        <v>1936</v>
      </c>
      <c r="BV7" s="103">
        <f t="shared" si="41"/>
        <v>0.60157407407407415</v>
      </c>
      <c r="BW7" s="135">
        <v>0.59184027777777781</v>
      </c>
      <c r="BX7" s="133">
        <f t="shared" si="42"/>
        <v>-841</v>
      </c>
      <c r="BY7" s="134"/>
      <c r="BZ7" s="270">
        <f t="shared" si="43"/>
        <v>841</v>
      </c>
      <c r="CA7" s="278"/>
      <c r="CB7" s="130">
        <v>0.6118055555555556</v>
      </c>
      <c r="CC7" s="132">
        <f t="shared" si="44"/>
        <v>0</v>
      </c>
      <c r="CD7" s="128">
        <f t="shared" si="45"/>
        <v>1899</v>
      </c>
      <c r="CE7" s="103">
        <f t="shared" si="46"/>
        <v>0.63378472222222226</v>
      </c>
      <c r="CF7" s="135">
        <v>0.64493055555555556</v>
      </c>
      <c r="CG7" s="133">
        <f t="shared" si="47"/>
        <v>963</v>
      </c>
      <c r="CH7" s="134"/>
      <c r="CI7" s="270">
        <f t="shared" si="48"/>
        <v>963</v>
      </c>
      <c r="CJ7" s="278"/>
      <c r="CK7" s="263">
        <f t="shared" si="49"/>
        <v>0.68472222222222223</v>
      </c>
      <c r="CL7" s="132">
        <f t="shared" si="50"/>
        <v>0</v>
      </c>
      <c r="CM7" s="131">
        <v>60</v>
      </c>
      <c r="CN7" s="440">
        <v>121.4</v>
      </c>
      <c r="CO7" s="147">
        <f t="shared" si="51"/>
        <v>61.4</v>
      </c>
      <c r="CP7" s="134"/>
      <c r="CQ7" s="134"/>
      <c r="CR7" s="134"/>
      <c r="CS7" s="134"/>
      <c r="CT7" s="270">
        <f t="shared" si="52"/>
        <v>614</v>
      </c>
      <c r="CU7" s="451" t="s">
        <v>596</v>
      </c>
      <c r="CV7" s="126" t="s">
        <v>569</v>
      </c>
      <c r="CW7" s="452">
        <v>12</v>
      </c>
      <c r="CX7" s="282">
        <f t="shared" si="53"/>
        <v>1440</v>
      </c>
      <c r="CY7" s="283">
        <v>0</v>
      </c>
      <c r="CZ7" s="282">
        <f t="shared" si="54"/>
        <v>0</v>
      </c>
    </row>
    <row r="8" spans="1:104" x14ac:dyDescent="0.25">
      <c r="A8" s="427">
        <f t="shared" si="0"/>
        <v>3</v>
      </c>
      <c r="B8" s="122">
        <v>2</v>
      </c>
      <c r="C8" s="123" t="s">
        <v>167</v>
      </c>
      <c r="D8" s="123" t="s">
        <v>436</v>
      </c>
      <c r="E8" s="123" t="s">
        <v>169</v>
      </c>
      <c r="F8" s="123" t="s">
        <v>171</v>
      </c>
      <c r="G8" s="122" t="s">
        <v>31</v>
      </c>
      <c r="H8" s="124"/>
      <c r="I8" s="450">
        <f t="shared" si="55"/>
        <v>5232</v>
      </c>
      <c r="J8" s="281"/>
      <c r="K8" s="138"/>
      <c r="L8" s="264">
        <v>0.41805555555555557</v>
      </c>
      <c r="M8" s="258">
        <f t="shared" si="1"/>
        <v>105</v>
      </c>
      <c r="N8" s="279">
        <f t="shared" si="2"/>
        <v>0</v>
      </c>
      <c r="O8" s="259">
        <f t="shared" si="3"/>
        <v>0.49097222222222225</v>
      </c>
      <c r="P8" s="263">
        <f t="shared" si="4"/>
        <v>0.49097222222222225</v>
      </c>
      <c r="Q8" s="128">
        <f t="shared" si="5"/>
        <v>0</v>
      </c>
      <c r="R8" s="266">
        <f t="shared" si="6"/>
        <v>0</v>
      </c>
      <c r="S8" s="136">
        <f t="shared" si="7"/>
        <v>140</v>
      </c>
      <c r="T8" s="280">
        <f t="shared" si="8"/>
        <v>2</v>
      </c>
      <c r="U8" s="260">
        <f t="shared" si="9"/>
        <v>0.58819444444444446</v>
      </c>
      <c r="V8" s="261">
        <v>0.59097222222222223</v>
      </c>
      <c r="W8" s="262">
        <f t="shared" si="10"/>
        <v>4</v>
      </c>
      <c r="X8" s="267">
        <f t="shared" si="11"/>
        <v>120</v>
      </c>
      <c r="Y8" s="136">
        <f t="shared" si="12"/>
        <v>95</v>
      </c>
      <c r="Z8" s="280">
        <f t="shared" si="13"/>
        <v>0</v>
      </c>
      <c r="AA8" s="260">
        <f t="shared" si="14"/>
        <v>0.65833333333333333</v>
      </c>
      <c r="AB8" s="128">
        <f t="shared" si="15"/>
        <v>10</v>
      </c>
      <c r="AC8" s="261">
        <v>0.66319444444444442</v>
      </c>
      <c r="AD8" s="262">
        <f t="shared" si="16"/>
        <v>7</v>
      </c>
      <c r="AE8" s="266">
        <f t="shared" si="17"/>
        <v>420</v>
      </c>
      <c r="AF8" s="261" t="s">
        <v>430</v>
      </c>
      <c r="AG8" s="266">
        <f t="shared" si="18"/>
        <v>0</v>
      </c>
      <c r="AH8" s="136">
        <f t="shared" si="19"/>
        <v>0</v>
      </c>
      <c r="AI8" s="128">
        <f t="shared" si="20"/>
        <v>0</v>
      </c>
      <c r="AJ8" s="129">
        <f t="shared" si="21"/>
        <v>0.49097222222222225</v>
      </c>
      <c r="AK8" s="137">
        <v>0.50138888888888888</v>
      </c>
      <c r="AL8" s="134"/>
      <c r="AM8" s="128">
        <f t="shared" si="22"/>
        <v>15</v>
      </c>
      <c r="AN8" s="268">
        <f t="shared" si="23"/>
        <v>0</v>
      </c>
      <c r="AO8" s="278"/>
      <c r="AP8" s="103">
        <f t="shared" si="24"/>
        <v>0.41805555555555557</v>
      </c>
      <c r="AQ8" s="132">
        <f t="shared" si="25"/>
        <v>0</v>
      </c>
      <c r="AR8" s="128">
        <f t="shared" si="56"/>
        <v>2503</v>
      </c>
      <c r="AS8" s="103">
        <f t="shared" si="26"/>
        <v>0.44702546296296297</v>
      </c>
      <c r="AT8" s="135">
        <v>0.44894675925925925</v>
      </c>
      <c r="AU8" s="133">
        <f t="shared" si="27"/>
        <v>166</v>
      </c>
      <c r="AV8" s="135"/>
      <c r="AW8" s="270">
        <f>IF(NOT(OR(ISBLANK(AP8),ISBLANK(AT8))),ABS(AU8)*ШтрафОпережениеОтставаниеНаРД+IF(ISBLANK(AV8),0,ШтрафФальстартНаДС),"!!!ВРУЧНУЮ!!!")</f>
        <v>166</v>
      </c>
      <c r="AX8" s="127"/>
      <c r="AY8" s="130">
        <v>0.4826388888888889</v>
      </c>
      <c r="AZ8" s="132">
        <f t="shared" si="28"/>
        <v>0</v>
      </c>
      <c r="BA8" s="128">
        <f t="shared" si="29"/>
        <v>409</v>
      </c>
      <c r="BB8" s="128">
        <f t="shared" si="30"/>
        <v>570</v>
      </c>
      <c r="BC8" s="103">
        <f t="shared" si="31"/>
        <v>0.48923611111111109</v>
      </c>
      <c r="BD8" s="135">
        <v>0.48825231481481479</v>
      </c>
      <c r="BE8" s="133">
        <f t="shared" si="32"/>
        <v>-85</v>
      </c>
      <c r="BF8" s="134"/>
      <c r="BG8" s="270">
        <f t="shared" si="33"/>
        <v>0</v>
      </c>
      <c r="BH8" s="127">
        <v>0.52986111111111112</v>
      </c>
      <c r="BI8" s="130">
        <v>0.53125</v>
      </c>
      <c r="BJ8" s="132">
        <f t="shared" si="34"/>
        <v>2</v>
      </c>
      <c r="BK8" s="128">
        <f t="shared" si="35"/>
        <v>455</v>
      </c>
      <c r="BL8" s="128">
        <f t="shared" si="36"/>
        <v>670</v>
      </c>
      <c r="BM8" s="103">
        <f t="shared" si="37"/>
        <v>0.53900462962962958</v>
      </c>
      <c r="BN8" s="135">
        <v>0.53785879629629629</v>
      </c>
      <c r="BO8" s="133">
        <f t="shared" si="38"/>
        <v>-99</v>
      </c>
      <c r="BP8" s="134"/>
      <c r="BQ8" s="270">
        <f t="shared" si="57"/>
        <v>0</v>
      </c>
      <c r="BR8" s="127"/>
      <c r="BS8" s="130">
        <v>0.56111111111111112</v>
      </c>
      <c r="BT8" s="132">
        <f t="shared" si="39"/>
        <v>0</v>
      </c>
      <c r="BU8" s="128">
        <f t="shared" si="40"/>
        <v>1936</v>
      </c>
      <c r="BV8" s="103">
        <f t="shared" si="41"/>
        <v>0.58351851851851855</v>
      </c>
      <c r="BW8" s="135">
        <v>0.57376157407407413</v>
      </c>
      <c r="BX8" s="133">
        <f t="shared" si="42"/>
        <v>-843</v>
      </c>
      <c r="BY8" s="134"/>
      <c r="BZ8" s="270">
        <f t="shared" si="43"/>
        <v>843</v>
      </c>
      <c r="CA8" s="278"/>
      <c r="CB8" s="130">
        <v>0.59236111111111112</v>
      </c>
      <c r="CC8" s="132">
        <f t="shared" si="44"/>
        <v>0</v>
      </c>
      <c r="CD8" s="128">
        <f t="shared" si="45"/>
        <v>1899</v>
      </c>
      <c r="CE8" s="103">
        <f t="shared" si="46"/>
        <v>0.61434027777777778</v>
      </c>
      <c r="CF8" s="135">
        <v>0.61664351851851851</v>
      </c>
      <c r="CG8" s="133">
        <f t="shared" si="47"/>
        <v>199</v>
      </c>
      <c r="CH8" s="134"/>
      <c r="CI8" s="270">
        <f t="shared" si="48"/>
        <v>199</v>
      </c>
      <c r="CJ8" s="278"/>
      <c r="CK8" s="263">
        <f t="shared" si="49"/>
        <v>0.66319444444444442</v>
      </c>
      <c r="CL8" s="132">
        <f t="shared" si="50"/>
        <v>0</v>
      </c>
      <c r="CM8" s="131">
        <v>60</v>
      </c>
      <c r="CN8" s="440">
        <v>136.38</v>
      </c>
      <c r="CO8" s="147">
        <f t="shared" si="51"/>
        <v>76.400000000000006</v>
      </c>
      <c r="CP8" s="134"/>
      <c r="CQ8" s="134"/>
      <c r="CR8" s="134"/>
      <c r="CS8" s="134">
        <v>2</v>
      </c>
      <c r="CT8" s="270">
        <f t="shared" si="52"/>
        <v>1164</v>
      </c>
      <c r="CU8" s="451" t="s">
        <v>571</v>
      </c>
      <c r="CV8" s="126" t="s">
        <v>569</v>
      </c>
      <c r="CW8" s="452">
        <v>11</v>
      </c>
      <c r="CX8" s="282">
        <f t="shared" si="53"/>
        <v>1320</v>
      </c>
      <c r="CY8" s="283">
        <v>1</v>
      </c>
      <c r="CZ8" s="282">
        <f t="shared" si="54"/>
        <v>1000</v>
      </c>
    </row>
    <row r="9" spans="1:104" x14ac:dyDescent="0.25">
      <c r="A9" s="427">
        <f t="shared" si="0"/>
        <v>4</v>
      </c>
      <c r="B9" s="122">
        <v>8</v>
      </c>
      <c r="C9" s="123" t="s">
        <v>455</v>
      </c>
      <c r="D9" s="123" t="s">
        <v>456</v>
      </c>
      <c r="E9" s="123" t="s">
        <v>458</v>
      </c>
      <c r="F9" s="123" t="s">
        <v>460</v>
      </c>
      <c r="G9" s="122" t="s">
        <v>31</v>
      </c>
      <c r="H9" s="124"/>
      <c r="I9" s="450">
        <f t="shared" si="55"/>
        <v>6053</v>
      </c>
      <c r="J9" s="281"/>
      <c r="K9" s="138"/>
      <c r="L9" s="264">
        <v>0.42222222222222222</v>
      </c>
      <c r="M9" s="258">
        <f t="shared" si="1"/>
        <v>105</v>
      </c>
      <c r="N9" s="279">
        <f t="shared" si="2"/>
        <v>0</v>
      </c>
      <c r="O9" s="259">
        <f t="shared" si="3"/>
        <v>0.49513888888888891</v>
      </c>
      <c r="P9" s="263">
        <f t="shared" si="4"/>
        <v>0.49513888888888891</v>
      </c>
      <c r="Q9" s="128">
        <f t="shared" si="5"/>
        <v>0</v>
      </c>
      <c r="R9" s="266">
        <f t="shared" si="6"/>
        <v>0</v>
      </c>
      <c r="S9" s="136">
        <f t="shared" si="7"/>
        <v>140</v>
      </c>
      <c r="T9" s="280">
        <f t="shared" si="8"/>
        <v>1</v>
      </c>
      <c r="U9" s="260">
        <f t="shared" si="9"/>
        <v>0.59236111111111112</v>
      </c>
      <c r="V9" s="261">
        <v>0.6</v>
      </c>
      <c r="W9" s="262">
        <f t="shared" si="10"/>
        <v>11</v>
      </c>
      <c r="X9" s="267">
        <f t="shared" si="11"/>
        <v>600</v>
      </c>
      <c r="Y9" s="136">
        <f t="shared" si="12"/>
        <v>95</v>
      </c>
      <c r="Z9" s="280">
        <f t="shared" si="13"/>
        <v>0</v>
      </c>
      <c r="AA9" s="260">
        <f t="shared" si="14"/>
        <v>0.66736111111111107</v>
      </c>
      <c r="AB9" s="128">
        <f t="shared" si="15"/>
        <v>10</v>
      </c>
      <c r="AC9" s="261">
        <v>0.67083333333333339</v>
      </c>
      <c r="AD9" s="262">
        <f t="shared" si="16"/>
        <v>5</v>
      </c>
      <c r="AE9" s="266">
        <f t="shared" si="17"/>
        <v>300</v>
      </c>
      <c r="AF9" s="261" t="s">
        <v>430</v>
      </c>
      <c r="AG9" s="266">
        <f t="shared" si="18"/>
        <v>0</v>
      </c>
      <c r="AH9" s="136">
        <f t="shared" si="19"/>
        <v>0</v>
      </c>
      <c r="AI9" s="128">
        <f t="shared" si="20"/>
        <v>0</v>
      </c>
      <c r="AJ9" s="129">
        <f t="shared" si="21"/>
        <v>0.49513888888888891</v>
      </c>
      <c r="AK9" s="137">
        <v>0.49374999999999997</v>
      </c>
      <c r="AL9" s="134"/>
      <c r="AM9" s="128">
        <f t="shared" si="22"/>
        <v>-2</v>
      </c>
      <c r="AN9" s="268">
        <f t="shared" si="23"/>
        <v>240</v>
      </c>
      <c r="AO9" s="278"/>
      <c r="AP9" s="103">
        <f t="shared" si="24"/>
        <v>0.42222222222222222</v>
      </c>
      <c r="AQ9" s="132">
        <f t="shared" si="25"/>
        <v>0</v>
      </c>
      <c r="AR9" s="128">
        <f t="shared" si="56"/>
        <v>2503</v>
      </c>
      <c r="AS9" s="103">
        <f t="shared" si="26"/>
        <v>0.45119212962962962</v>
      </c>
      <c r="AT9" s="135">
        <v>0.46582175925925928</v>
      </c>
      <c r="AU9" s="133">
        <f t="shared" si="27"/>
        <v>1264</v>
      </c>
      <c r="AV9" s="135"/>
      <c r="AW9" s="270">
        <f>IF(NOT(OR(ISBLANK(AP9),ISBLANK(AT9))),ABS(AU9)*ШтрафОпережениеОтставаниеНаРД+IF(ISBLANK(AV9),0,ШтрафФальстартНаДС),"!!!ВРУЧНУЮ!!!")</f>
        <v>1264</v>
      </c>
      <c r="AX9" s="127"/>
      <c r="AY9" s="130">
        <v>0.48125000000000001</v>
      </c>
      <c r="AZ9" s="132">
        <f t="shared" si="28"/>
        <v>0</v>
      </c>
      <c r="BA9" s="128">
        <f t="shared" si="29"/>
        <v>409</v>
      </c>
      <c r="BB9" s="128">
        <f t="shared" si="30"/>
        <v>570</v>
      </c>
      <c r="BC9" s="103">
        <f t="shared" si="31"/>
        <v>0.48784722222222221</v>
      </c>
      <c r="BD9" s="135">
        <v>0.48788194444444444</v>
      </c>
      <c r="BE9" s="133">
        <f t="shared" si="32"/>
        <v>3</v>
      </c>
      <c r="BF9" s="134"/>
      <c r="BG9" s="270">
        <f t="shared" si="33"/>
        <v>3</v>
      </c>
      <c r="BH9" s="127">
        <v>0.53749999999999998</v>
      </c>
      <c r="BI9" s="130">
        <v>0.53819444444444442</v>
      </c>
      <c r="BJ9" s="132">
        <f t="shared" si="34"/>
        <v>1</v>
      </c>
      <c r="BK9" s="128">
        <f t="shared" si="35"/>
        <v>455</v>
      </c>
      <c r="BL9" s="128">
        <f t="shared" si="36"/>
        <v>670</v>
      </c>
      <c r="BM9" s="103">
        <f t="shared" si="37"/>
        <v>0.545949074074074</v>
      </c>
      <c r="BN9" s="135">
        <v>0.54629629629629628</v>
      </c>
      <c r="BO9" s="133">
        <f t="shared" si="38"/>
        <v>30</v>
      </c>
      <c r="BP9" s="134"/>
      <c r="BQ9" s="270">
        <f t="shared" si="57"/>
        <v>30</v>
      </c>
      <c r="BR9" s="127"/>
      <c r="BS9" s="130">
        <v>0.56597222222222221</v>
      </c>
      <c r="BT9" s="132">
        <f t="shared" si="39"/>
        <v>0</v>
      </c>
      <c r="BU9" s="128">
        <f t="shared" si="40"/>
        <v>1936</v>
      </c>
      <c r="BV9" s="103">
        <f t="shared" si="41"/>
        <v>0.58837962962962964</v>
      </c>
      <c r="BW9" s="135">
        <v>0.58848379629629632</v>
      </c>
      <c r="BX9" s="133">
        <f t="shared" si="42"/>
        <v>9</v>
      </c>
      <c r="BY9" s="134"/>
      <c r="BZ9" s="270">
        <f t="shared" si="43"/>
        <v>9</v>
      </c>
      <c r="CA9" s="278"/>
      <c r="CB9" s="130">
        <v>0.60138888888888886</v>
      </c>
      <c r="CC9" s="132">
        <f t="shared" si="44"/>
        <v>0</v>
      </c>
      <c r="CD9" s="128">
        <f t="shared" si="45"/>
        <v>1899</v>
      </c>
      <c r="CE9" s="103">
        <f t="shared" si="46"/>
        <v>0.62336805555555552</v>
      </c>
      <c r="CF9" s="135">
        <v>0.63722222222222225</v>
      </c>
      <c r="CG9" s="133">
        <f t="shared" si="47"/>
        <v>1197</v>
      </c>
      <c r="CH9" s="134"/>
      <c r="CI9" s="270">
        <f t="shared" si="48"/>
        <v>1197</v>
      </c>
      <c r="CJ9" s="278"/>
      <c r="CK9" s="263">
        <f t="shared" si="49"/>
        <v>0.67083333333333339</v>
      </c>
      <c r="CL9" s="132">
        <f t="shared" si="50"/>
        <v>0</v>
      </c>
      <c r="CM9" s="131">
        <v>60</v>
      </c>
      <c r="CN9" s="440">
        <v>129</v>
      </c>
      <c r="CO9" s="147">
        <f t="shared" si="51"/>
        <v>69</v>
      </c>
      <c r="CP9" s="134"/>
      <c r="CQ9" s="134"/>
      <c r="CR9" s="134"/>
      <c r="CS9" s="134">
        <v>2</v>
      </c>
      <c r="CT9" s="270">
        <f t="shared" si="52"/>
        <v>1090</v>
      </c>
      <c r="CU9" s="451" t="s">
        <v>576</v>
      </c>
      <c r="CV9" s="126" t="s">
        <v>569</v>
      </c>
      <c r="CW9" s="452">
        <v>11</v>
      </c>
      <c r="CX9" s="282">
        <f t="shared" si="53"/>
        <v>1320</v>
      </c>
      <c r="CY9" s="283">
        <v>0</v>
      </c>
      <c r="CZ9" s="282">
        <f t="shared" si="54"/>
        <v>0</v>
      </c>
    </row>
    <row r="10" spans="1:104" x14ac:dyDescent="0.25">
      <c r="A10" s="427">
        <f t="shared" si="0"/>
        <v>5</v>
      </c>
      <c r="B10" s="122">
        <v>13</v>
      </c>
      <c r="C10" s="123" t="s">
        <v>474</v>
      </c>
      <c r="D10" s="123" t="s">
        <v>475</v>
      </c>
      <c r="E10" s="123" t="s">
        <v>477</v>
      </c>
      <c r="F10" s="123" t="s">
        <v>478</v>
      </c>
      <c r="G10" s="122" t="s">
        <v>31</v>
      </c>
      <c r="H10" s="124"/>
      <c r="I10" s="450">
        <f t="shared" si="55"/>
        <v>6440</v>
      </c>
      <c r="J10" s="281"/>
      <c r="K10" s="138"/>
      <c r="L10" s="264">
        <v>0.42569444444444443</v>
      </c>
      <c r="M10" s="258">
        <f t="shared" si="1"/>
        <v>105</v>
      </c>
      <c r="N10" s="279">
        <f t="shared" si="2"/>
        <v>0</v>
      </c>
      <c r="O10" s="259">
        <f t="shared" si="3"/>
        <v>0.49861111111111112</v>
      </c>
      <c r="P10" s="263">
        <f t="shared" si="4"/>
        <v>0.49861111111111112</v>
      </c>
      <c r="Q10" s="128">
        <f t="shared" si="5"/>
        <v>0</v>
      </c>
      <c r="R10" s="266">
        <f t="shared" si="6"/>
        <v>0</v>
      </c>
      <c r="S10" s="136">
        <f t="shared" si="7"/>
        <v>140</v>
      </c>
      <c r="T10" s="280">
        <f t="shared" si="8"/>
        <v>2</v>
      </c>
      <c r="U10" s="260">
        <f t="shared" si="9"/>
        <v>0.59583333333333333</v>
      </c>
      <c r="V10" s="261">
        <v>0.61249999999999993</v>
      </c>
      <c r="W10" s="262">
        <f t="shared" si="10"/>
        <v>24</v>
      </c>
      <c r="X10" s="267">
        <f t="shared" si="11"/>
        <v>1320</v>
      </c>
      <c r="Y10" s="136">
        <f t="shared" si="12"/>
        <v>95</v>
      </c>
      <c r="Z10" s="280">
        <f t="shared" si="13"/>
        <v>0</v>
      </c>
      <c r="AA10" s="260">
        <f t="shared" si="14"/>
        <v>0.67986111111111103</v>
      </c>
      <c r="AB10" s="128">
        <f t="shared" si="15"/>
        <v>10</v>
      </c>
      <c r="AC10" s="261">
        <v>0.69374999999999998</v>
      </c>
      <c r="AD10" s="262">
        <f t="shared" si="16"/>
        <v>20</v>
      </c>
      <c r="AE10" s="266">
        <f t="shared" si="17"/>
        <v>1200</v>
      </c>
      <c r="AF10" s="261"/>
      <c r="AG10" s="266">
        <f t="shared" si="18"/>
        <v>300</v>
      </c>
      <c r="AH10" s="136">
        <f t="shared" si="19"/>
        <v>0</v>
      </c>
      <c r="AI10" s="128">
        <f t="shared" si="20"/>
        <v>0</v>
      </c>
      <c r="AJ10" s="129">
        <f t="shared" si="21"/>
        <v>0.49861111111111112</v>
      </c>
      <c r="AK10" s="137">
        <v>0.5131944444444444</v>
      </c>
      <c r="AL10" s="134"/>
      <c r="AM10" s="128">
        <f t="shared" si="22"/>
        <v>21</v>
      </c>
      <c r="AN10" s="268">
        <f t="shared" si="23"/>
        <v>0</v>
      </c>
      <c r="AO10" s="278"/>
      <c r="AP10" s="103">
        <f t="shared" si="24"/>
        <v>0.42569444444444443</v>
      </c>
      <c r="AQ10" s="132">
        <f t="shared" si="25"/>
        <v>0</v>
      </c>
      <c r="AR10" s="128">
        <f t="shared" si="56"/>
        <v>2503</v>
      </c>
      <c r="AS10" s="103">
        <f t="shared" si="26"/>
        <v>0.45466435185185183</v>
      </c>
      <c r="AT10" s="135"/>
      <c r="AU10" s="133">
        <f t="shared" si="27"/>
        <v>-39283</v>
      </c>
      <c r="AV10" s="135"/>
      <c r="AW10" s="441">
        <f>AW33*1.1</f>
        <v>1859.0000000000002</v>
      </c>
      <c r="AX10" s="127"/>
      <c r="AY10" s="130">
        <v>0.50138888888888888</v>
      </c>
      <c r="AZ10" s="132">
        <f t="shared" si="28"/>
        <v>0</v>
      </c>
      <c r="BA10" s="128">
        <f t="shared" si="29"/>
        <v>409</v>
      </c>
      <c r="BB10" s="128">
        <f t="shared" si="30"/>
        <v>570</v>
      </c>
      <c r="BC10" s="103">
        <f t="shared" si="31"/>
        <v>0.50798611111111114</v>
      </c>
      <c r="BD10" s="135">
        <v>0.50787037037037031</v>
      </c>
      <c r="BE10" s="133">
        <f t="shared" si="32"/>
        <v>-10</v>
      </c>
      <c r="BF10" s="134"/>
      <c r="BG10" s="270">
        <f t="shared" si="33"/>
        <v>0</v>
      </c>
      <c r="BH10" s="127">
        <v>0.54166666666666663</v>
      </c>
      <c r="BI10" s="130">
        <v>0.54305555555555551</v>
      </c>
      <c r="BJ10" s="132">
        <f t="shared" si="34"/>
        <v>2</v>
      </c>
      <c r="BK10" s="128">
        <f t="shared" si="35"/>
        <v>455</v>
      </c>
      <c r="BL10" s="128">
        <f t="shared" si="36"/>
        <v>670</v>
      </c>
      <c r="BM10" s="103">
        <f t="shared" si="37"/>
        <v>0.5508101851851851</v>
      </c>
      <c r="BN10" s="135">
        <v>0.55055555555555558</v>
      </c>
      <c r="BO10" s="133">
        <f t="shared" si="38"/>
        <v>-22</v>
      </c>
      <c r="BP10" s="134"/>
      <c r="BQ10" s="270">
        <f t="shared" si="57"/>
        <v>0</v>
      </c>
      <c r="BR10" s="127"/>
      <c r="BS10" s="130">
        <v>0.57500000000000007</v>
      </c>
      <c r="BT10" s="132">
        <f t="shared" si="39"/>
        <v>0</v>
      </c>
      <c r="BU10" s="128">
        <f t="shared" si="40"/>
        <v>1936</v>
      </c>
      <c r="BV10" s="103">
        <f t="shared" si="41"/>
        <v>0.5974074074074075</v>
      </c>
      <c r="BW10" s="135">
        <v>0.59753472222222215</v>
      </c>
      <c r="BX10" s="133">
        <f t="shared" si="42"/>
        <v>11</v>
      </c>
      <c r="BY10" s="134"/>
      <c r="BZ10" s="270">
        <f t="shared" si="43"/>
        <v>11</v>
      </c>
      <c r="CA10" s="278"/>
      <c r="CB10" s="130">
        <v>0.61388888888888882</v>
      </c>
      <c r="CC10" s="132">
        <f t="shared" si="44"/>
        <v>0</v>
      </c>
      <c r="CD10" s="128">
        <f t="shared" si="45"/>
        <v>1899</v>
      </c>
      <c r="CE10" s="103">
        <f t="shared" si="46"/>
        <v>0.63586805555555548</v>
      </c>
      <c r="CF10" s="717">
        <v>0.64031249999999995</v>
      </c>
      <c r="CG10" s="133">
        <f t="shared" si="47"/>
        <v>384</v>
      </c>
      <c r="CH10" s="134"/>
      <c r="CI10" s="270">
        <f t="shared" si="48"/>
        <v>384</v>
      </c>
      <c r="CJ10" s="278"/>
      <c r="CK10" s="263">
        <f t="shared" si="49"/>
        <v>0.69374999999999998</v>
      </c>
      <c r="CL10" s="132">
        <f t="shared" si="50"/>
        <v>0</v>
      </c>
      <c r="CM10" s="131">
        <v>60</v>
      </c>
      <c r="CN10" s="440">
        <v>100.56</v>
      </c>
      <c r="CO10" s="147">
        <f t="shared" si="51"/>
        <v>40.6</v>
      </c>
      <c r="CP10" s="134"/>
      <c r="CQ10" s="134"/>
      <c r="CR10" s="134"/>
      <c r="CS10" s="134"/>
      <c r="CT10" s="270">
        <f t="shared" si="52"/>
        <v>406</v>
      </c>
      <c r="CU10" s="451" t="s">
        <v>602</v>
      </c>
      <c r="CV10" s="126" t="s">
        <v>569</v>
      </c>
      <c r="CW10" s="719">
        <v>8</v>
      </c>
      <c r="CX10" s="282">
        <f t="shared" si="53"/>
        <v>960</v>
      </c>
      <c r="CY10" s="283">
        <v>0</v>
      </c>
      <c r="CZ10" s="282">
        <f t="shared" si="54"/>
        <v>0</v>
      </c>
    </row>
    <row r="11" spans="1:104" x14ac:dyDescent="0.25">
      <c r="A11" s="427">
        <f t="shared" si="0"/>
        <v>6</v>
      </c>
      <c r="B11" s="122">
        <v>11</v>
      </c>
      <c r="C11" s="123" t="s">
        <v>466</v>
      </c>
      <c r="D11" s="123" t="s">
        <v>467</v>
      </c>
      <c r="E11" s="123" t="s">
        <v>151</v>
      </c>
      <c r="F11" s="123" t="s">
        <v>152</v>
      </c>
      <c r="G11" s="122" t="s">
        <v>31</v>
      </c>
      <c r="H11" s="124"/>
      <c r="I11" s="450">
        <f t="shared" si="55"/>
        <v>6570</v>
      </c>
      <c r="J11" s="281"/>
      <c r="K11" s="138"/>
      <c r="L11" s="264">
        <v>0.42430555555555555</v>
      </c>
      <c r="M11" s="258">
        <f t="shared" si="1"/>
        <v>105</v>
      </c>
      <c r="N11" s="279">
        <f t="shared" si="2"/>
        <v>0</v>
      </c>
      <c r="O11" s="259">
        <f t="shared" si="3"/>
        <v>0.49722222222222223</v>
      </c>
      <c r="P11" s="263">
        <f t="shared" si="4"/>
        <v>0.49722222222222223</v>
      </c>
      <c r="Q11" s="128">
        <f t="shared" si="5"/>
        <v>0</v>
      </c>
      <c r="R11" s="266">
        <f t="shared" si="6"/>
        <v>0</v>
      </c>
      <c r="S11" s="136">
        <f t="shared" si="7"/>
        <v>140</v>
      </c>
      <c r="T11" s="280">
        <f t="shared" si="8"/>
        <v>2</v>
      </c>
      <c r="U11" s="260">
        <f t="shared" si="9"/>
        <v>0.59444444444444444</v>
      </c>
      <c r="V11" s="261">
        <v>0.60347222222222219</v>
      </c>
      <c r="W11" s="262">
        <f t="shared" si="10"/>
        <v>13</v>
      </c>
      <c r="X11" s="267">
        <f t="shared" si="11"/>
        <v>660</v>
      </c>
      <c r="Y11" s="136">
        <f t="shared" si="12"/>
        <v>95</v>
      </c>
      <c r="Z11" s="280">
        <f t="shared" si="13"/>
        <v>0</v>
      </c>
      <c r="AA11" s="260">
        <f t="shared" si="14"/>
        <v>0.67083333333333339</v>
      </c>
      <c r="AB11" s="128">
        <f t="shared" si="15"/>
        <v>10</v>
      </c>
      <c r="AC11" s="261">
        <v>0.69097222222222221</v>
      </c>
      <c r="AD11" s="262">
        <f t="shared" si="16"/>
        <v>29</v>
      </c>
      <c r="AE11" s="266">
        <f t="shared" si="17"/>
        <v>1740</v>
      </c>
      <c r="AF11" s="261" t="s">
        <v>430</v>
      </c>
      <c r="AG11" s="266">
        <f t="shared" si="18"/>
        <v>0</v>
      </c>
      <c r="AH11" s="136">
        <f t="shared" si="19"/>
        <v>0</v>
      </c>
      <c r="AI11" s="128">
        <f t="shared" si="20"/>
        <v>0</v>
      </c>
      <c r="AJ11" s="129">
        <f t="shared" si="21"/>
        <v>0.49722222222222223</v>
      </c>
      <c r="AK11" s="137">
        <v>0.49652777777777773</v>
      </c>
      <c r="AL11" s="134"/>
      <c r="AM11" s="128">
        <f t="shared" si="22"/>
        <v>-1</v>
      </c>
      <c r="AN11" s="268">
        <f t="shared" si="23"/>
        <v>120</v>
      </c>
      <c r="AO11" s="278"/>
      <c r="AP11" s="103">
        <f t="shared" si="24"/>
        <v>0.42430555555555555</v>
      </c>
      <c r="AQ11" s="132">
        <f t="shared" si="25"/>
        <v>0</v>
      </c>
      <c r="AR11" s="128">
        <f t="shared" si="56"/>
        <v>2503</v>
      </c>
      <c r="AS11" s="103">
        <f t="shared" si="26"/>
        <v>0.45327546296296295</v>
      </c>
      <c r="AT11" s="135">
        <v>0.46340277777777777</v>
      </c>
      <c r="AU11" s="133">
        <f t="shared" si="27"/>
        <v>875</v>
      </c>
      <c r="AV11" s="135"/>
      <c r="AW11" s="270">
        <f t="shared" ref="AW11:AW17" si="58">IF(NOT(OR(ISBLANK(AP11),ISBLANK(AT11))),ABS(AU11)*ШтрафОпережениеОтставаниеНаРД+IF(ISBLANK(AV11),0,ШтрафФальстартНаДС),"!!!ВРУЧНУЮ!!!")</f>
        <v>875</v>
      </c>
      <c r="AX11" s="127"/>
      <c r="AY11" s="130">
        <v>0.48194444444444445</v>
      </c>
      <c r="AZ11" s="132">
        <f t="shared" si="28"/>
        <v>0</v>
      </c>
      <c r="BA11" s="128">
        <f t="shared" si="29"/>
        <v>409</v>
      </c>
      <c r="BB11" s="128">
        <f t="shared" si="30"/>
        <v>570</v>
      </c>
      <c r="BC11" s="103">
        <f t="shared" si="31"/>
        <v>0.48854166666666665</v>
      </c>
      <c r="BD11" s="135">
        <v>0.48954861111111114</v>
      </c>
      <c r="BE11" s="133">
        <f t="shared" si="32"/>
        <v>87</v>
      </c>
      <c r="BF11" s="134"/>
      <c r="BG11" s="270">
        <f t="shared" si="33"/>
        <v>87</v>
      </c>
      <c r="BH11" s="127">
        <v>0.53194444444444444</v>
      </c>
      <c r="BI11" s="130">
        <v>0.53333333333333333</v>
      </c>
      <c r="BJ11" s="132">
        <f t="shared" si="34"/>
        <v>2</v>
      </c>
      <c r="BK11" s="128">
        <f t="shared" si="35"/>
        <v>455</v>
      </c>
      <c r="BL11" s="128">
        <f t="shared" si="36"/>
        <v>670</v>
      </c>
      <c r="BM11" s="103">
        <f t="shared" si="37"/>
        <v>0.54108796296296291</v>
      </c>
      <c r="BN11" s="135">
        <v>0.54173611111111108</v>
      </c>
      <c r="BO11" s="133">
        <f t="shared" si="38"/>
        <v>56</v>
      </c>
      <c r="BP11" s="134"/>
      <c r="BQ11" s="270">
        <f t="shared" si="57"/>
        <v>56</v>
      </c>
      <c r="BR11" s="127"/>
      <c r="BS11" s="130">
        <v>0.56944444444444442</v>
      </c>
      <c r="BT11" s="132">
        <f t="shared" si="39"/>
        <v>0</v>
      </c>
      <c r="BU11" s="128">
        <f t="shared" si="40"/>
        <v>1936</v>
      </c>
      <c r="BV11" s="103">
        <f t="shared" si="41"/>
        <v>0.59185185185185185</v>
      </c>
      <c r="BW11" s="135">
        <v>0.58807870370370374</v>
      </c>
      <c r="BX11" s="133">
        <f t="shared" si="42"/>
        <v>-326</v>
      </c>
      <c r="BY11" s="134"/>
      <c r="BZ11" s="270">
        <f t="shared" si="43"/>
        <v>326</v>
      </c>
      <c r="CA11" s="278"/>
      <c r="CB11" s="130">
        <v>0.60486111111111118</v>
      </c>
      <c r="CC11" s="132">
        <f t="shared" si="44"/>
        <v>0</v>
      </c>
      <c r="CD11" s="128">
        <f t="shared" si="45"/>
        <v>1899</v>
      </c>
      <c r="CE11" s="103">
        <f t="shared" si="46"/>
        <v>0.62684027777777784</v>
      </c>
      <c r="CF11" s="135">
        <v>0.64013888888888892</v>
      </c>
      <c r="CG11" s="133">
        <f t="shared" si="47"/>
        <v>1149</v>
      </c>
      <c r="CH11" s="134"/>
      <c r="CI11" s="270">
        <f t="shared" si="48"/>
        <v>1149</v>
      </c>
      <c r="CJ11" s="278"/>
      <c r="CK11" s="263">
        <f t="shared" si="49"/>
        <v>0.69097222222222221</v>
      </c>
      <c r="CL11" s="132">
        <f t="shared" si="50"/>
        <v>0</v>
      </c>
      <c r="CM11" s="131">
        <v>60</v>
      </c>
      <c r="CN11" s="440">
        <v>119.67</v>
      </c>
      <c r="CO11" s="147">
        <f t="shared" si="51"/>
        <v>59.7</v>
      </c>
      <c r="CP11" s="134"/>
      <c r="CQ11" s="134"/>
      <c r="CR11" s="134"/>
      <c r="CS11" s="134"/>
      <c r="CT11" s="270">
        <f t="shared" si="52"/>
        <v>597</v>
      </c>
      <c r="CU11" s="451" t="s">
        <v>599</v>
      </c>
      <c r="CV11" s="126" t="s">
        <v>569</v>
      </c>
      <c r="CW11" s="719">
        <v>8</v>
      </c>
      <c r="CX11" s="282">
        <f t="shared" si="53"/>
        <v>960</v>
      </c>
      <c r="CY11" s="283">
        <v>0</v>
      </c>
      <c r="CZ11" s="282">
        <f t="shared" si="54"/>
        <v>0</v>
      </c>
    </row>
    <row r="12" spans="1:104" x14ac:dyDescent="0.25">
      <c r="A12" s="427">
        <f t="shared" si="0"/>
        <v>8</v>
      </c>
      <c r="B12" s="122">
        <v>4</v>
      </c>
      <c r="C12" s="123" t="s">
        <v>441</v>
      </c>
      <c r="D12" s="123" t="s">
        <v>141</v>
      </c>
      <c r="E12" s="123" t="s">
        <v>142</v>
      </c>
      <c r="F12" s="123" t="s">
        <v>143</v>
      </c>
      <c r="G12" s="122" t="s">
        <v>31</v>
      </c>
      <c r="H12" s="124"/>
      <c r="I12" s="450">
        <f t="shared" si="55"/>
        <v>7482</v>
      </c>
      <c r="J12" s="281"/>
      <c r="K12" s="138"/>
      <c r="L12" s="264">
        <v>0.41944444444444445</v>
      </c>
      <c r="M12" s="258">
        <f t="shared" si="1"/>
        <v>105</v>
      </c>
      <c r="N12" s="279">
        <f t="shared" si="2"/>
        <v>0</v>
      </c>
      <c r="O12" s="259">
        <f t="shared" si="3"/>
        <v>0.49236111111111114</v>
      </c>
      <c r="P12" s="263">
        <f t="shared" si="4"/>
        <v>0.49236111111111114</v>
      </c>
      <c r="Q12" s="128">
        <f t="shared" si="5"/>
        <v>0</v>
      </c>
      <c r="R12" s="266">
        <f t="shared" si="6"/>
        <v>0</v>
      </c>
      <c r="S12" s="136">
        <f t="shared" si="7"/>
        <v>140</v>
      </c>
      <c r="T12" s="280">
        <f t="shared" si="8"/>
        <v>2</v>
      </c>
      <c r="U12" s="260">
        <f t="shared" si="9"/>
        <v>0.58958333333333335</v>
      </c>
      <c r="V12" s="261">
        <v>0.61319444444444449</v>
      </c>
      <c r="W12" s="262">
        <f t="shared" si="10"/>
        <v>34</v>
      </c>
      <c r="X12" s="267">
        <f t="shared" si="11"/>
        <v>1920</v>
      </c>
      <c r="Y12" s="136">
        <f t="shared" si="12"/>
        <v>95</v>
      </c>
      <c r="Z12" s="280">
        <f t="shared" si="13"/>
        <v>0</v>
      </c>
      <c r="AA12" s="260">
        <f t="shared" si="14"/>
        <v>0.68055555555555558</v>
      </c>
      <c r="AB12" s="128">
        <f t="shared" si="15"/>
        <v>10</v>
      </c>
      <c r="AC12" s="261">
        <v>0.69374999999999998</v>
      </c>
      <c r="AD12" s="262">
        <f t="shared" si="16"/>
        <v>19</v>
      </c>
      <c r="AE12" s="266">
        <f t="shared" si="17"/>
        <v>1140</v>
      </c>
      <c r="AF12" s="261" t="s">
        <v>430</v>
      </c>
      <c r="AG12" s="266">
        <f t="shared" si="18"/>
        <v>0</v>
      </c>
      <c r="AH12" s="136">
        <f t="shared" si="19"/>
        <v>0</v>
      </c>
      <c r="AI12" s="128">
        <f t="shared" si="20"/>
        <v>0</v>
      </c>
      <c r="AJ12" s="129">
        <f t="shared" si="21"/>
        <v>0.49236111111111114</v>
      </c>
      <c r="AK12" s="137">
        <v>0.4916666666666667</v>
      </c>
      <c r="AL12" s="134"/>
      <c r="AM12" s="128">
        <f t="shared" si="22"/>
        <v>-1</v>
      </c>
      <c r="AN12" s="268">
        <f t="shared" si="23"/>
        <v>120</v>
      </c>
      <c r="AO12" s="278"/>
      <c r="AP12" s="103">
        <f t="shared" si="24"/>
        <v>0.41944444444444445</v>
      </c>
      <c r="AQ12" s="132">
        <f t="shared" si="25"/>
        <v>0</v>
      </c>
      <c r="AR12" s="128">
        <f t="shared" si="56"/>
        <v>2503</v>
      </c>
      <c r="AS12" s="103">
        <f t="shared" si="26"/>
        <v>0.44841435185185186</v>
      </c>
      <c r="AT12" s="135">
        <v>0.44754629629629633</v>
      </c>
      <c r="AU12" s="133">
        <f t="shared" si="27"/>
        <v>-75</v>
      </c>
      <c r="AV12" s="135"/>
      <c r="AW12" s="270">
        <f t="shared" si="58"/>
        <v>75</v>
      </c>
      <c r="AX12" s="127"/>
      <c r="AY12" s="130">
        <v>0.4770833333333333</v>
      </c>
      <c r="AZ12" s="132">
        <f t="shared" si="28"/>
        <v>0</v>
      </c>
      <c r="BA12" s="128">
        <f t="shared" si="29"/>
        <v>409</v>
      </c>
      <c r="BB12" s="128">
        <f t="shared" si="30"/>
        <v>570</v>
      </c>
      <c r="BC12" s="103">
        <f t="shared" si="31"/>
        <v>0.4836805555555555</v>
      </c>
      <c r="BD12" s="135">
        <v>0.4836226851851852</v>
      </c>
      <c r="BE12" s="133">
        <f t="shared" si="32"/>
        <v>-5</v>
      </c>
      <c r="BF12" s="134"/>
      <c r="BG12" s="270">
        <f t="shared" si="33"/>
        <v>0</v>
      </c>
      <c r="BH12" s="127">
        <v>0.53333333333333333</v>
      </c>
      <c r="BI12" s="130">
        <v>0.53472222222222221</v>
      </c>
      <c r="BJ12" s="132">
        <f t="shared" si="34"/>
        <v>2</v>
      </c>
      <c r="BK12" s="128">
        <f t="shared" si="35"/>
        <v>455</v>
      </c>
      <c r="BL12" s="128">
        <f t="shared" si="36"/>
        <v>670</v>
      </c>
      <c r="BM12" s="103">
        <f t="shared" si="37"/>
        <v>0.54247685185185179</v>
      </c>
      <c r="BN12" s="135">
        <v>0.54270833333333335</v>
      </c>
      <c r="BO12" s="133">
        <f t="shared" si="38"/>
        <v>20</v>
      </c>
      <c r="BP12" s="134"/>
      <c r="BQ12" s="270">
        <f t="shared" si="57"/>
        <v>20</v>
      </c>
      <c r="BR12" s="127"/>
      <c r="BS12" s="130">
        <v>0.56666666666666665</v>
      </c>
      <c r="BT12" s="132">
        <f t="shared" si="39"/>
        <v>0</v>
      </c>
      <c r="BU12" s="128">
        <f t="shared" si="40"/>
        <v>1936</v>
      </c>
      <c r="BV12" s="103">
        <f t="shared" si="41"/>
        <v>0.58907407407407408</v>
      </c>
      <c r="BW12" s="135">
        <v>0.59685185185185186</v>
      </c>
      <c r="BX12" s="133">
        <f t="shared" si="42"/>
        <v>672</v>
      </c>
      <c r="BY12" s="134"/>
      <c r="BZ12" s="270">
        <f t="shared" si="43"/>
        <v>672</v>
      </c>
      <c r="CA12" s="278"/>
      <c r="CB12" s="130">
        <v>0.61458333333333337</v>
      </c>
      <c r="CC12" s="132">
        <f t="shared" si="44"/>
        <v>0</v>
      </c>
      <c r="CD12" s="128">
        <f t="shared" si="45"/>
        <v>1899</v>
      </c>
      <c r="CE12" s="103">
        <f t="shared" si="46"/>
        <v>0.63656250000000003</v>
      </c>
      <c r="CF12" s="135">
        <v>0.65001157407407406</v>
      </c>
      <c r="CG12" s="133">
        <f t="shared" si="47"/>
        <v>1162</v>
      </c>
      <c r="CH12" s="134"/>
      <c r="CI12" s="270">
        <f t="shared" si="48"/>
        <v>1162</v>
      </c>
      <c r="CJ12" s="278"/>
      <c r="CK12" s="263">
        <f t="shared" si="49"/>
        <v>0.69374999999999998</v>
      </c>
      <c r="CL12" s="132">
        <f t="shared" si="50"/>
        <v>0</v>
      </c>
      <c r="CM12" s="131">
        <v>60</v>
      </c>
      <c r="CN12" s="440">
        <v>153.26</v>
      </c>
      <c r="CO12" s="147">
        <f t="shared" si="51"/>
        <v>93.3</v>
      </c>
      <c r="CP12" s="134"/>
      <c r="CQ12" s="134"/>
      <c r="CR12" s="134"/>
      <c r="CS12" s="134"/>
      <c r="CT12" s="270">
        <f t="shared" si="52"/>
        <v>933</v>
      </c>
      <c r="CU12" s="451" t="s">
        <v>573</v>
      </c>
      <c r="CV12" s="126" t="s">
        <v>569</v>
      </c>
      <c r="CW12" s="452">
        <v>12</v>
      </c>
      <c r="CX12" s="282">
        <f t="shared" si="53"/>
        <v>1440</v>
      </c>
      <c r="CY12" s="283">
        <v>0</v>
      </c>
      <c r="CZ12" s="282">
        <f t="shared" si="54"/>
        <v>0</v>
      </c>
    </row>
    <row r="13" spans="1:104" x14ac:dyDescent="0.25">
      <c r="A13" s="427">
        <f t="shared" si="0"/>
        <v>12</v>
      </c>
      <c r="B13" s="122">
        <v>6</v>
      </c>
      <c r="C13" s="123" t="s">
        <v>449</v>
      </c>
      <c r="D13" s="123" t="s">
        <v>450</v>
      </c>
      <c r="E13" s="123" t="s">
        <v>164</v>
      </c>
      <c r="F13" s="123" t="s">
        <v>452</v>
      </c>
      <c r="G13" s="122" t="s">
        <v>31</v>
      </c>
      <c r="H13" s="124"/>
      <c r="I13" s="450">
        <f t="shared" si="55"/>
        <v>8851.2999999999993</v>
      </c>
      <c r="J13" s="281"/>
      <c r="K13" s="138"/>
      <c r="L13" s="264">
        <v>0.42083333333333334</v>
      </c>
      <c r="M13" s="258">
        <f t="shared" si="1"/>
        <v>105</v>
      </c>
      <c r="N13" s="279">
        <f t="shared" si="2"/>
        <v>0</v>
      </c>
      <c r="O13" s="259">
        <f t="shared" si="3"/>
        <v>0.49375000000000002</v>
      </c>
      <c r="P13" s="263">
        <f t="shared" si="4"/>
        <v>0.49375000000000002</v>
      </c>
      <c r="Q13" s="128">
        <f t="shared" si="5"/>
        <v>0</v>
      </c>
      <c r="R13" s="266">
        <f t="shared" si="6"/>
        <v>0</v>
      </c>
      <c r="S13" s="136">
        <f t="shared" si="7"/>
        <v>140</v>
      </c>
      <c r="T13" s="280">
        <f t="shared" si="8"/>
        <v>1</v>
      </c>
      <c r="U13" s="260">
        <f t="shared" si="9"/>
        <v>0.59097222222222223</v>
      </c>
      <c r="V13" s="261"/>
      <c r="W13" s="262" t="str">
        <f t="shared" si="10"/>
        <v/>
      </c>
      <c r="X13" s="267">
        <f t="shared" si="11"/>
        <v>1800</v>
      </c>
      <c r="Y13" s="136">
        <f t="shared" si="12"/>
        <v>95</v>
      </c>
      <c r="Z13" s="280">
        <f t="shared" si="13"/>
        <v>0</v>
      </c>
      <c r="AA13" s="260">
        <f t="shared" si="14"/>
        <v>0.65694444444444444</v>
      </c>
      <c r="AB13" s="128">
        <f t="shared" si="15"/>
        <v>10</v>
      </c>
      <c r="AC13" s="261">
        <v>0.6743055555555556</v>
      </c>
      <c r="AD13" s="262">
        <f t="shared" si="16"/>
        <v>25</v>
      </c>
      <c r="AE13" s="266">
        <f t="shared" si="17"/>
        <v>1500</v>
      </c>
      <c r="AF13" s="261" t="s">
        <v>430</v>
      </c>
      <c r="AG13" s="266">
        <f t="shared" si="18"/>
        <v>0</v>
      </c>
      <c r="AH13" s="136">
        <f t="shared" si="19"/>
        <v>0</v>
      </c>
      <c r="AI13" s="128">
        <f t="shared" si="20"/>
        <v>0</v>
      </c>
      <c r="AJ13" s="129">
        <f t="shared" si="21"/>
        <v>0.49375000000000002</v>
      </c>
      <c r="AK13" s="137">
        <v>0.52708333333333335</v>
      </c>
      <c r="AL13" s="134"/>
      <c r="AM13" s="128">
        <f t="shared" si="22"/>
        <v>48</v>
      </c>
      <c r="AN13" s="268">
        <f t="shared" si="23"/>
        <v>0</v>
      </c>
      <c r="AO13" s="278"/>
      <c r="AP13" s="103">
        <f t="shared" si="24"/>
        <v>0.42083333333333334</v>
      </c>
      <c r="AQ13" s="132">
        <f t="shared" si="25"/>
        <v>0</v>
      </c>
      <c r="AR13" s="128">
        <f t="shared" si="56"/>
        <v>2503</v>
      </c>
      <c r="AS13" s="103">
        <f t="shared" si="26"/>
        <v>0.44980324074074074</v>
      </c>
      <c r="AT13" s="135">
        <v>0.44707175925925924</v>
      </c>
      <c r="AU13" s="133">
        <f t="shared" si="27"/>
        <v>-236</v>
      </c>
      <c r="AV13" s="135"/>
      <c r="AW13" s="270">
        <f t="shared" si="58"/>
        <v>236</v>
      </c>
      <c r="AX13" s="127"/>
      <c r="AY13" s="130">
        <v>0.47986111111111113</v>
      </c>
      <c r="AZ13" s="132">
        <f t="shared" si="28"/>
        <v>0</v>
      </c>
      <c r="BA13" s="128">
        <f t="shared" si="29"/>
        <v>409</v>
      </c>
      <c r="BB13" s="128">
        <f t="shared" si="30"/>
        <v>570</v>
      </c>
      <c r="BC13" s="103">
        <f t="shared" si="31"/>
        <v>0.48645833333333333</v>
      </c>
      <c r="BD13" s="135">
        <v>0.4864236111111111</v>
      </c>
      <c r="BE13" s="133">
        <f t="shared" si="32"/>
        <v>-3</v>
      </c>
      <c r="BF13" s="134"/>
      <c r="BG13" s="270">
        <f t="shared" si="33"/>
        <v>0</v>
      </c>
      <c r="BH13" s="127">
        <v>0.56874999999999998</v>
      </c>
      <c r="BI13" s="130">
        <v>0.56944444444444442</v>
      </c>
      <c r="BJ13" s="132">
        <f t="shared" si="34"/>
        <v>1</v>
      </c>
      <c r="BK13" s="128">
        <f t="shared" si="35"/>
        <v>455</v>
      </c>
      <c r="BL13" s="128">
        <f t="shared" si="36"/>
        <v>670</v>
      </c>
      <c r="BM13" s="103">
        <f t="shared" si="37"/>
        <v>0.577199074074074</v>
      </c>
      <c r="BN13" s="135">
        <v>0.57763888888888892</v>
      </c>
      <c r="BO13" s="133">
        <f t="shared" si="38"/>
        <v>38</v>
      </c>
      <c r="BP13" s="134"/>
      <c r="BQ13" s="270">
        <f t="shared" si="57"/>
        <v>38</v>
      </c>
      <c r="BR13" s="127"/>
      <c r="BS13" s="130">
        <v>0.6020833333333333</v>
      </c>
      <c r="BT13" s="132">
        <f t="shared" si="39"/>
        <v>0</v>
      </c>
      <c r="BU13" s="128">
        <f t="shared" si="40"/>
        <v>1936</v>
      </c>
      <c r="BV13" s="103">
        <f t="shared" si="41"/>
        <v>0.62449074074074074</v>
      </c>
      <c r="BW13" s="135">
        <v>0.61006944444444444</v>
      </c>
      <c r="BX13" s="133">
        <f t="shared" si="42"/>
        <v>-1246</v>
      </c>
      <c r="BY13" s="134"/>
      <c r="BZ13" s="270">
        <f t="shared" si="43"/>
        <v>1246</v>
      </c>
      <c r="CA13" s="278"/>
      <c r="CB13" s="130"/>
      <c r="CC13" s="132">
        <f t="shared" si="44"/>
        <v>0</v>
      </c>
      <c r="CD13" s="128">
        <f t="shared" si="45"/>
        <v>1899</v>
      </c>
      <c r="CE13" s="103">
        <f t="shared" si="46"/>
        <v>2.1979166666666668E-2</v>
      </c>
      <c r="CF13" s="135">
        <v>0.63715277777777779</v>
      </c>
      <c r="CG13" s="133">
        <f t="shared" si="47"/>
        <v>53151</v>
      </c>
      <c r="CH13" s="134"/>
      <c r="CI13" s="441">
        <f>CI20*1.1</f>
        <v>1983.3000000000002</v>
      </c>
      <c r="CJ13" s="278"/>
      <c r="CK13" s="263">
        <f t="shared" si="49"/>
        <v>0.6743055555555556</v>
      </c>
      <c r="CL13" s="132">
        <f t="shared" si="50"/>
        <v>0</v>
      </c>
      <c r="CM13" s="131">
        <v>60</v>
      </c>
      <c r="CN13" s="440">
        <v>136.79</v>
      </c>
      <c r="CO13" s="147">
        <f t="shared" si="51"/>
        <v>76.8</v>
      </c>
      <c r="CP13" s="134"/>
      <c r="CQ13" s="134"/>
      <c r="CR13" s="134"/>
      <c r="CS13" s="134">
        <v>1</v>
      </c>
      <c r="CT13" s="270">
        <f t="shared" si="52"/>
        <v>968</v>
      </c>
      <c r="CU13" s="451" t="s">
        <v>598</v>
      </c>
      <c r="CV13" s="126" t="s">
        <v>569</v>
      </c>
      <c r="CW13" s="719">
        <v>9</v>
      </c>
      <c r="CX13" s="282">
        <f t="shared" si="53"/>
        <v>1080</v>
      </c>
      <c r="CY13" s="283">
        <v>0</v>
      </c>
      <c r="CZ13" s="282">
        <f t="shared" si="54"/>
        <v>0</v>
      </c>
    </row>
    <row r="14" spans="1:104" x14ac:dyDescent="0.25">
      <c r="A14" s="427">
        <f t="shared" si="0"/>
        <v>9</v>
      </c>
      <c r="B14" s="122">
        <v>9</v>
      </c>
      <c r="C14" s="123" t="s">
        <v>461</v>
      </c>
      <c r="D14" s="123" t="s">
        <v>178</v>
      </c>
      <c r="E14" s="123" t="s">
        <v>463</v>
      </c>
      <c r="F14" s="123" t="s">
        <v>464</v>
      </c>
      <c r="G14" s="122" t="s">
        <v>31</v>
      </c>
      <c r="H14" s="124"/>
      <c r="I14" s="450">
        <f t="shared" si="55"/>
        <v>7633</v>
      </c>
      <c r="J14" s="281"/>
      <c r="K14" s="138"/>
      <c r="L14" s="264">
        <v>0.42291666666666666</v>
      </c>
      <c r="M14" s="258">
        <f t="shared" si="1"/>
        <v>105</v>
      </c>
      <c r="N14" s="279">
        <f t="shared" si="2"/>
        <v>0</v>
      </c>
      <c r="O14" s="259">
        <f t="shared" si="3"/>
        <v>0.49583333333333335</v>
      </c>
      <c r="P14" s="263">
        <f t="shared" si="4"/>
        <v>0.49583333333333335</v>
      </c>
      <c r="Q14" s="128">
        <f t="shared" si="5"/>
        <v>0</v>
      </c>
      <c r="R14" s="266">
        <f t="shared" si="6"/>
        <v>0</v>
      </c>
      <c r="S14" s="136">
        <f t="shared" si="7"/>
        <v>140</v>
      </c>
      <c r="T14" s="280">
        <f t="shared" si="8"/>
        <v>1</v>
      </c>
      <c r="U14" s="260">
        <f t="shared" si="9"/>
        <v>0.59305555555555556</v>
      </c>
      <c r="V14" s="261">
        <v>0.60833333333333328</v>
      </c>
      <c r="W14" s="262">
        <f t="shared" si="10"/>
        <v>22</v>
      </c>
      <c r="X14" s="267">
        <f t="shared" si="11"/>
        <v>1260</v>
      </c>
      <c r="Y14" s="136">
        <f t="shared" si="12"/>
        <v>95</v>
      </c>
      <c r="Z14" s="280">
        <f t="shared" si="13"/>
        <v>0</v>
      </c>
      <c r="AA14" s="260">
        <f t="shared" si="14"/>
        <v>0.67569444444444438</v>
      </c>
      <c r="AB14" s="128">
        <f t="shared" si="15"/>
        <v>10</v>
      </c>
      <c r="AC14" s="261">
        <v>0.6777777777777777</v>
      </c>
      <c r="AD14" s="262">
        <f t="shared" si="16"/>
        <v>3</v>
      </c>
      <c r="AE14" s="266">
        <f t="shared" si="17"/>
        <v>180</v>
      </c>
      <c r="AF14" s="261" t="s">
        <v>430</v>
      </c>
      <c r="AG14" s="266">
        <f t="shared" si="18"/>
        <v>0</v>
      </c>
      <c r="AH14" s="136">
        <f t="shared" si="19"/>
        <v>0</v>
      </c>
      <c r="AI14" s="128">
        <f t="shared" si="20"/>
        <v>0</v>
      </c>
      <c r="AJ14" s="129">
        <f t="shared" si="21"/>
        <v>0.49583333333333335</v>
      </c>
      <c r="AK14" s="137">
        <v>0.49374999999999997</v>
      </c>
      <c r="AL14" s="134"/>
      <c r="AM14" s="128">
        <f t="shared" si="22"/>
        <v>-3</v>
      </c>
      <c r="AN14" s="268">
        <f t="shared" si="23"/>
        <v>360</v>
      </c>
      <c r="AO14" s="278"/>
      <c r="AP14" s="103">
        <f t="shared" si="24"/>
        <v>0.42291666666666666</v>
      </c>
      <c r="AQ14" s="132">
        <f t="shared" si="25"/>
        <v>0</v>
      </c>
      <c r="AR14" s="128">
        <f t="shared" si="56"/>
        <v>2503</v>
      </c>
      <c r="AS14" s="103">
        <f t="shared" si="26"/>
        <v>0.45188657407407407</v>
      </c>
      <c r="AT14" s="135">
        <v>0.45962962962962961</v>
      </c>
      <c r="AU14" s="133">
        <f t="shared" si="27"/>
        <v>669</v>
      </c>
      <c r="AV14" s="135"/>
      <c r="AW14" s="270">
        <f t="shared" si="58"/>
        <v>669</v>
      </c>
      <c r="AX14" s="127"/>
      <c r="AY14" s="130">
        <v>0.48055555555555557</v>
      </c>
      <c r="AZ14" s="132">
        <f t="shared" si="28"/>
        <v>0</v>
      </c>
      <c r="BA14" s="128">
        <f t="shared" si="29"/>
        <v>409</v>
      </c>
      <c r="BB14" s="128">
        <f t="shared" si="30"/>
        <v>570</v>
      </c>
      <c r="BC14" s="103">
        <f t="shared" si="31"/>
        <v>0.48715277777777777</v>
      </c>
      <c r="BD14" s="135">
        <v>0.48749999999999999</v>
      </c>
      <c r="BE14" s="133">
        <f t="shared" si="32"/>
        <v>30</v>
      </c>
      <c r="BF14" s="134"/>
      <c r="BG14" s="270">
        <f t="shared" si="33"/>
        <v>30</v>
      </c>
      <c r="BH14" s="127">
        <v>0.52083333333333337</v>
      </c>
      <c r="BI14" s="130">
        <v>0.52152777777777781</v>
      </c>
      <c r="BJ14" s="132">
        <f t="shared" si="34"/>
        <v>1</v>
      </c>
      <c r="BK14" s="128">
        <f t="shared" si="35"/>
        <v>455</v>
      </c>
      <c r="BL14" s="128">
        <f t="shared" si="36"/>
        <v>670</v>
      </c>
      <c r="BM14" s="103">
        <f t="shared" si="37"/>
        <v>0.5292824074074074</v>
      </c>
      <c r="BN14" s="135">
        <v>0.5296643518518519</v>
      </c>
      <c r="BO14" s="133">
        <f t="shared" si="38"/>
        <v>33</v>
      </c>
      <c r="BP14" s="134"/>
      <c r="BQ14" s="270">
        <f t="shared" si="57"/>
        <v>33</v>
      </c>
      <c r="BR14" s="127"/>
      <c r="BS14" s="130">
        <v>0.55486111111111114</v>
      </c>
      <c r="BT14" s="132">
        <f t="shared" si="39"/>
        <v>0</v>
      </c>
      <c r="BU14" s="128">
        <f t="shared" si="40"/>
        <v>1936</v>
      </c>
      <c r="BV14" s="103">
        <f t="shared" si="41"/>
        <v>0.57726851851851857</v>
      </c>
      <c r="BW14" s="135">
        <v>0.58832175925925922</v>
      </c>
      <c r="BX14" s="133">
        <f t="shared" si="42"/>
        <v>955</v>
      </c>
      <c r="BY14" s="134"/>
      <c r="BZ14" s="270">
        <f t="shared" si="43"/>
        <v>955</v>
      </c>
      <c r="CA14" s="278"/>
      <c r="CB14" s="130">
        <v>0.60972222222222217</v>
      </c>
      <c r="CC14" s="132">
        <f t="shared" si="44"/>
        <v>0</v>
      </c>
      <c r="CD14" s="128">
        <f t="shared" si="45"/>
        <v>1899</v>
      </c>
      <c r="CE14" s="103">
        <f t="shared" si="46"/>
        <v>0.63170138888888883</v>
      </c>
      <c r="CF14" s="135">
        <v>0.64001157407407405</v>
      </c>
      <c r="CG14" s="133">
        <f t="shared" si="47"/>
        <v>718</v>
      </c>
      <c r="CH14" s="134"/>
      <c r="CI14" s="270">
        <f t="shared" ref="CI14:CI34" si="59">IF(NOT(OR(ISBLANK(CB14),ISBLANK(CF14))),ABS(CG14)*ШтрафОпережениеОтставаниеНаРД+IF(ISBLANK(CH14),0,ШтрафФальстартНаДС),"!!!ВРУЧНУЮ!!!")</f>
        <v>718</v>
      </c>
      <c r="CJ14" s="278"/>
      <c r="CK14" s="263">
        <f t="shared" si="49"/>
        <v>0.6777777777777777</v>
      </c>
      <c r="CL14" s="132">
        <f t="shared" si="50"/>
        <v>0</v>
      </c>
      <c r="CM14" s="131">
        <v>60</v>
      </c>
      <c r="CN14" s="440">
        <v>106.79</v>
      </c>
      <c r="CO14" s="147">
        <f t="shared" si="51"/>
        <v>46.8</v>
      </c>
      <c r="CP14" s="134"/>
      <c r="CQ14" s="134"/>
      <c r="CR14" s="134"/>
      <c r="CS14" s="134">
        <v>7</v>
      </c>
      <c r="CT14" s="270">
        <f t="shared" si="52"/>
        <v>1868</v>
      </c>
      <c r="CU14" s="451" t="s">
        <v>577</v>
      </c>
      <c r="CV14" s="126" t="s">
        <v>569</v>
      </c>
      <c r="CW14" s="452">
        <v>13</v>
      </c>
      <c r="CX14" s="282">
        <f t="shared" si="53"/>
        <v>1560</v>
      </c>
      <c r="CY14" s="283">
        <v>0</v>
      </c>
      <c r="CZ14" s="282">
        <f t="shared" si="54"/>
        <v>0</v>
      </c>
    </row>
    <row r="15" spans="1:104" x14ac:dyDescent="0.25">
      <c r="A15" s="427">
        <f t="shared" si="0"/>
        <v>7</v>
      </c>
      <c r="B15" s="122">
        <v>7</v>
      </c>
      <c r="C15" s="123" t="s">
        <v>135</v>
      </c>
      <c r="D15" s="123" t="s">
        <v>453</v>
      </c>
      <c r="E15" s="123" t="s">
        <v>136</v>
      </c>
      <c r="F15" s="123" t="s">
        <v>82</v>
      </c>
      <c r="G15" s="122" t="s">
        <v>31</v>
      </c>
      <c r="H15" s="124"/>
      <c r="I15" s="450">
        <f t="shared" si="55"/>
        <v>6952</v>
      </c>
      <c r="J15" s="281"/>
      <c r="K15" s="138"/>
      <c r="L15" s="264">
        <v>0.42152777777777778</v>
      </c>
      <c r="M15" s="258">
        <f t="shared" si="1"/>
        <v>105</v>
      </c>
      <c r="N15" s="279">
        <f t="shared" si="2"/>
        <v>0</v>
      </c>
      <c r="O15" s="259">
        <f t="shared" si="3"/>
        <v>0.49444444444444446</v>
      </c>
      <c r="P15" s="263">
        <f t="shared" si="4"/>
        <v>0.49444444444444446</v>
      </c>
      <c r="Q15" s="128">
        <f t="shared" si="5"/>
        <v>0</v>
      </c>
      <c r="R15" s="266">
        <f t="shared" si="6"/>
        <v>0</v>
      </c>
      <c r="S15" s="136">
        <f t="shared" si="7"/>
        <v>140</v>
      </c>
      <c r="T15" s="280">
        <f t="shared" si="8"/>
        <v>1</v>
      </c>
      <c r="U15" s="260">
        <f t="shared" si="9"/>
        <v>0.59166666666666667</v>
      </c>
      <c r="V15" s="261">
        <v>0.59652777777777777</v>
      </c>
      <c r="W15" s="262">
        <f t="shared" si="10"/>
        <v>7</v>
      </c>
      <c r="X15" s="267">
        <f t="shared" si="11"/>
        <v>360</v>
      </c>
      <c r="Y15" s="136">
        <f t="shared" si="12"/>
        <v>95</v>
      </c>
      <c r="Z15" s="280">
        <f t="shared" si="13"/>
        <v>0</v>
      </c>
      <c r="AA15" s="260">
        <f t="shared" si="14"/>
        <v>0.66388888888888886</v>
      </c>
      <c r="AB15" s="128">
        <f t="shared" si="15"/>
        <v>10</v>
      </c>
      <c r="AC15" s="261">
        <v>0.67291666666666661</v>
      </c>
      <c r="AD15" s="262">
        <f t="shared" si="16"/>
        <v>13</v>
      </c>
      <c r="AE15" s="266">
        <f t="shared" si="17"/>
        <v>780</v>
      </c>
      <c r="AF15" s="261"/>
      <c r="AG15" s="266">
        <f t="shared" si="18"/>
        <v>300</v>
      </c>
      <c r="AH15" s="136">
        <f t="shared" si="19"/>
        <v>0</v>
      </c>
      <c r="AI15" s="128">
        <f t="shared" si="20"/>
        <v>0</v>
      </c>
      <c r="AJ15" s="129">
        <f t="shared" si="21"/>
        <v>0.49444444444444446</v>
      </c>
      <c r="AK15" s="137">
        <v>0.49444444444444446</v>
      </c>
      <c r="AL15" s="134"/>
      <c r="AM15" s="128">
        <f t="shared" si="22"/>
        <v>0</v>
      </c>
      <c r="AN15" s="268">
        <f t="shared" si="23"/>
        <v>0</v>
      </c>
      <c r="AO15" s="278"/>
      <c r="AP15" s="103">
        <f t="shared" si="24"/>
        <v>0.42152777777777778</v>
      </c>
      <c r="AQ15" s="132">
        <f t="shared" si="25"/>
        <v>0</v>
      </c>
      <c r="AR15" s="128">
        <f t="shared" si="56"/>
        <v>2503</v>
      </c>
      <c r="AS15" s="103">
        <f t="shared" si="26"/>
        <v>0.45049768518518518</v>
      </c>
      <c r="AT15" s="135">
        <v>0.4581944444444444</v>
      </c>
      <c r="AU15" s="133">
        <f t="shared" si="27"/>
        <v>665</v>
      </c>
      <c r="AV15" s="135"/>
      <c r="AW15" s="270">
        <f t="shared" si="58"/>
        <v>665</v>
      </c>
      <c r="AX15" s="127"/>
      <c r="AY15" s="130">
        <v>0.47916666666666669</v>
      </c>
      <c r="AZ15" s="132">
        <f t="shared" si="28"/>
        <v>0</v>
      </c>
      <c r="BA15" s="128">
        <f t="shared" si="29"/>
        <v>409</v>
      </c>
      <c r="BB15" s="128">
        <f t="shared" si="30"/>
        <v>570</v>
      </c>
      <c r="BC15" s="103">
        <f t="shared" si="31"/>
        <v>0.48576388888888888</v>
      </c>
      <c r="BD15" s="135">
        <v>0.4855902777777778</v>
      </c>
      <c r="BE15" s="133">
        <f t="shared" si="32"/>
        <v>-15</v>
      </c>
      <c r="BF15" s="134"/>
      <c r="BG15" s="270">
        <f t="shared" si="33"/>
        <v>0</v>
      </c>
      <c r="BH15" s="127">
        <v>0.52152777777777781</v>
      </c>
      <c r="BI15" s="130">
        <v>0.52222222222222225</v>
      </c>
      <c r="BJ15" s="132">
        <f t="shared" si="34"/>
        <v>1</v>
      </c>
      <c r="BK15" s="128">
        <f t="shared" si="35"/>
        <v>455</v>
      </c>
      <c r="BL15" s="128">
        <f t="shared" si="36"/>
        <v>670</v>
      </c>
      <c r="BM15" s="103">
        <f t="shared" si="37"/>
        <v>0.52997685185185184</v>
      </c>
      <c r="BN15" s="135">
        <v>0.52997685185185184</v>
      </c>
      <c r="BO15" s="133">
        <f t="shared" si="38"/>
        <v>0</v>
      </c>
      <c r="BP15" s="134"/>
      <c r="BQ15" s="270">
        <f t="shared" si="57"/>
        <v>0</v>
      </c>
      <c r="BR15" s="127"/>
      <c r="BS15" s="130">
        <v>0.55625000000000002</v>
      </c>
      <c r="BT15" s="132">
        <f t="shared" si="39"/>
        <v>0</v>
      </c>
      <c r="BU15" s="128">
        <f t="shared" si="40"/>
        <v>1936</v>
      </c>
      <c r="BV15" s="103">
        <f t="shared" si="41"/>
        <v>0.57865740740740745</v>
      </c>
      <c r="BW15" s="135">
        <v>0.58247685185185183</v>
      </c>
      <c r="BX15" s="133">
        <f t="shared" si="42"/>
        <v>330</v>
      </c>
      <c r="BY15" s="134"/>
      <c r="BZ15" s="270">
        <f t="shared" si="43"/>
        <v>330</v>
      </c>
      <c r="CA15" s="278"/>
      <c r="CB15" s="130">
        <v>0.59791666666666665</v>
      </c>
      <c r="CC15" s="132">
        <f t="shared" si="44"/>
        <v>0</v>
      </c>
      <c r="CD15" s="128">
        <f t="shared" si="45"/>
        <v>1899</v>
      </c>
      <c r="CE15" s="103">
        <f t="shared" si="46"/>
        <v>0.61989583333333331</v>
      </c>
      <c r="CF15" s="442">
        <v>0.64008101851851851</v>
      </c>
      <c r="CG15" s="133">
        <f t="shared" si="47"/>
        <v>1744</v>
      </c>
      <c r="CH15" s="134"/>
      <c r="CI15" s="270">
        <f t="shared" si="59"/>
        <v>1744</v>
      </c>
      <c r="CJ15" s="278"/>
      <c r="CK15" s="263">
        <f t="shared" si="49"/>
        <v>0.67291666666666661</v>
      </c>
      <c r="CL15" s="132">
        <f t="shared" si="50"/>
        <v>0</v>
      </c>
      <c r="CM15" s="131">
        <v>60</v>
      </c>
      <c r="CN15" s="440">
        <v>89.29</v>
      </c>
      <c r="CO15" s="147">
        <f t="shared" si="51"/>
        <v>29.3</v>
      </c>
      <c r="CP15" s="134"/>
      <c r="CQ15" s="134"/>
      <c r="CR15" s="134"/>
      <c r="CS15" s="134">
        <v>4</v>
      </c>
      <c r="CT15" s="270">
        <f t="shared" si="52"/>
        <v>1093</v>
      </c>
      <c r="CU15" s="451" t="s">
        <v>575</v>
      </c>
      <c r="CV15" s="126" t="s">
        <v>569</v>
      </c>
      <c r="CW15" s="719">
        <v>14</v>
      </c>
      <c r="CX15" s="282">
        <f t="shared" si="53"/>
        <v>1680</v>
      </c>
      <c r="CY15" s="283">
        <v>0</v>
      </c>
      <c r="CZ15" s="282">
        <f t="shared" si="54"/>
        <v>0</v>
      </c>
    </row>
    <row r="16" spans="1:104" x14ac:dyDescent="0.25">
      <c r="A16" s="427">
        <f t="shared" si="0"/>
        <v>11</v>
      </c>
      <c r="B16" s="122">
        <v>31</v>
      </c>
      <c r="C16" s="123" t="s">
        <v>535</v>
      </c>
      <c r="D16" s="123" t="s">
        <v>536</v>
      </c>
      <c r="E16" s="123" t="s">
        <v>537</v>
      </c>
      <c r="F16" s="123" t="s">
        <v>538</v>
      </c>
      <c r="G16" s="122" t="s">
        <v>31</v>
      </c>
      <c r="H16" s="124"/>
      <c r="I16" s="450">
        <f t="shared" si="55"/>
        <v>8535</v>
      </c>
      <c r="J16" s="281"/>
      <c r="K16" s="138"/>
      <c r="L16" s="264">
        <v>0.4381944444444445</v>
      </c>
      <c r="M16" s="258">
        <f t="shared" si="1"/>
        <v>105</v>
      </c>
      <c r="N16" s="279">
        <f t="shared" si="2"/>
        <v>0</v>
      </c>
      <c r="O16" s="259">
        <f t="shared" si="3"/>
        <v>0.51111111111111118</v>
      </c>
      <c r="P16" s="263">
        <f t="shared" si="4"/>
        <v>0.51111111111111118</v>
      </c>
      <c r="Q16" s="128">
        <f t="shared" si="5"/>
        <v>0</v>
      </c>
      <c r="R16" s="266">
        <f t="shared" si="6"/>
        <v>0</v>
      </c>
      <c r="S16" s="136">
        <f t="shared" si="7"/>
        <v>140</v>
      </c>
      <c r="T16" s="280">
        <f t="shared" si="8"/>
        <v>1</v>
      </c>
      <c r="U16" s="260">
        <f t="shared" si="9"/>
        <v>0.60833333333333339</v>
      </c>
      <c r="V16" s="261">
        <v>0.63472222222222219</v>
      </c>
      <c r="W16" s="262">
        <f t="shared" si="10"/>
        <v>38</v>
      </c>
      <c r="X16" s="267">
        <f t="shared" si="11"/>
        <v>2220</v>
      </c>
      <c r="Y16" s="136">
        <f t="shared" si="12"/>
        <v>95</v>
      </c>
      <c r="Z16" s="280">
        <f t="shared" si="13"/>
        <v>0</v>
      </c>
      <c r="AA16" s="260">
        <f t="shared" si="14"/>
        <v>0.70138888888888884</v>
      </c>
      <c r="AB16" s="128">
        <f t="shared" si="15"/>
        <v>10</v>
      </c>
      <c r="AC16" s="261">
        <v>0.70972222222222225</v>
      </c>
      <c r="AD16" s="262">
        <f t="shared" si="16"/>
        <v>12</v>
      </c>
      <c r="AE16" s="266">
        <f t="shared" si="17"/>
        <v>720</v>
      </c>
      <c r="AF16" s="261" t="s">
        <v>430</v>
      </c>
      <c r="AG16" s="266">
        <f t="shared" si="18"/>
        <v>0</v>
      </c>
      <c r="AH16" s="136">
        <f t="shared" si="19"/>
        <v>0</v>
      </c>
      <c r="AI16" s="128">
        <f t="shared" si="20"/>
        <v>0</v>
      </c>
      <c r="AJ16" s="129">
        <f t="shared" si="21"/>
        <v>0.51111111111111118</v>
      </c>
      <c r="AK16" s="137">
        <v>0.52569444444444446</v>
      </c>
      <c r="AL16" s="134"/>
      <c r="AM16" s="128">
        <f t="shared" si="22"/>
        <v>21</v>
      </c>
      <c r="AN16" s="268">
        <f t="shared" si="23"/>
        <v>0</v>
      </c>
      <c r="AO16" s="278"/>
      <c r="AP16" s="103">
        <f t="shared" si="24"/>
        <v>0.4381944444444445</v>
      </c>
      <c r="AQ16" s="132">
        <f t="shared" si="25"/>
        <v>0</v>
      </c>
      <c r="AR16" s="128">
        <f t="shared" si="56"/>
        <v>2503</v>
      </c>
      <c r="AS16" s="103">
        <f t="shared" si="26"/>
        <v>0.4671643518518519</v>
      </c>
      <c r="AT16" s="135">
        <v>0.47758101851851853</v>
      </c>
      <c r="AU16" s="133">
        <f t="shared" si="27"/>
        <v>900</v>
      </c>
      <c r="AV16" s="135"/>
      <c r="AW16" s="270">
        <f t="shared" si="58"/>
        <v>900</v>
      </c>
      <c r="AX16" s="127"/>
      <c r="AY16" s="130">
        <v>0.5131944444444444</v>
      </c>
      <c r="AZ16" s="132">
        <f t="shared" si="28"/>
        <v>0</v>
      </c>
      <c r="BA16" s="128">
        <f t="shared" si="29"/>
        <v>409</v>
      </c>
      <c r="BB16" s="128">
        <f t="shared" si="30"/>
        <v>570</v>
      </c>
      <c r="BC16" s="103">
        <f t="shared" si="31"/>
        <v>0.51979166666666665</v>
      </c>
      <c r="BD16" s="135">
        <v>0.51973379629629635</v>
      </c>
      <c r="BE16" s="133">
        <f t="shared" si="32"/>
        <v>-5</v>
      </c>
      <c r="BF16" s="134"/>
      <c r="BG16" s="270">
        <f t="shared" si="33"/>
        <v>0</v>
      </c>
      <c r="BH16" s="127">
        <v>0.55347222222222225</v>
      </c>
      <c r="BI16" s="130">
        <v>0.5541666666666667</v>
      </c>
      <c r="BJ16" s="132">
        <f t="shared" si="34"/>
        <v>1</v>
      </c>
      <c r="BK16" s="128">
        <f t="shared" si="35"/>
        <v>455</v>
      </c>
      <c r="BL16" s="128">
        <f t="shared" si="36"/>
        <v>670</v>
      </c>
      <c r="BM16" s="103">
        <f t="shared" si="37"/>
        <v>0.56192129629629628</v>
      </c>
      <c r="BN16" s="135">
        <v>0.56226851851851845</v>
      </c>
      <c r="BO16" s="133">
        <f t="shared" si="38"/>
        <v>30</v>
      </c>
      <c r="BP16" s="134"/>
      <c r="BQ16" s="270">
        <f t="shared" si="57"/>
        <v>30</v>
      </c>
      <c r="BR16" s="127"/>
      <c r="BS16" s="130">
        <v>0.58611111111111114</v>
      </c>
      <c r="BT16" s="132">
        <f t="shared" si="39"/>
        <v>0</v>
      </c>
      <c r="BU16" s="128">
        <f t="shared" si="40"/>
        <v>1936</v>
      </c>
      <c r="BV16" s="103">
        <f t="shared" si="41"/>
        <v>0.60851851851851857</v>
      </c>
      <c r="BW16" s="135">
        <v>0.6199189814814815</v>
      </c>
      <c r="BX16" s="133">
        <f t="shared" si="42"/>
        <v>985</v>
      </c>
      <c r="BY16" s="134"/>
      <c r="BZ16" s="270">
        <f t="shared" si="43"/>
        <v>985</v>
      </c>
      <c r="CA16" s="278"/>
      <c r="CB16" s="130">
        <v>0.63541666666666663</v>
      </c>
      <c r="CC16" s="132">
        <f t="shared" si="44"/>
        <v>0</v>
      </c>
      <c r="CD16" s="128">
        <f t="shared" si="45"/>
        <v>1899</v>
      </c>
      <c r="CE16" s="103">
        <f t="shared" si="46"/>
        <v>0.65739583333333329</v>
      </c>
      <c r="CF16" s="135">
        <v>0.66288194444444437</v>
      </c>
      <c r="CG16" s="133">
        <f t="shared" si="47"/>
        <v>474</v>
      </c>
      <c r="CH16" s="134"/>
      <c r="CI16" s="270">
        <f t="shared" si="59"/>
        <v>474</v>
      </c>
      <c r="CJ16" s="278"/>
      <c r="CK16" s="263">
        <f t="shared" si="49"/>
        <v>0.70972222222222225</v>
      </c>
      <c r="CL16" s="132">
        <f t="shared" si="50"/>
        <v>0</v>
      </c>
      <c r="CM16" s="131">
        <v>60</v>
      </c>
      <c r="CN16" s="440">
        <v>168.63</v>
      </c>
      <c r="CO16" s="147">
        <f t="shared" si="51"/>
        <v>108.6</v>
      </c>
      <c r="CP16" s="134"/>
      <c r="CQ16" s="134"/>
      <c r="CR16" s="134"/>
      <c r="CS16" s="134">
        <v>4</v>
      </c>
      <c r="CT16" s="270">
        <f t="shared" si="52"/>
        <v>1886</v>
      </c>
      <c r="CU16" s="451" t="s">
        <v>595</v>
      </c>
      <c r="CV16" s="126" t="s">
        <v>569</v>
      </c>
      <c r="CW16" s="452">
        <v>11</v>
      </c>
      <c r="CX16" s="282">
        <f t="shared" si="53"/>
        <v>1320</v>
      </c>
      <c r="CY16" s="283">
        <v>0</v>
      </c>
      <c r="CZ16" s="282">
        <f t="shared" si="54"/>
        <v>0</v>
      </c>
    </row>
    <row r="17" spans="1:104" x14ac:dyDescent="0.25">
      <c r="A17" s="427">
        <f t="shared" si="0"/>
        <v>10</v>
      </c>
      <c r="B17" s="122">
        <v>10</v>
      </c>
      <c r="C17" s="123" t="s">
        <v>568</v>
      </c>
      <c r="D17" s="123" t="s">
        <v>132</v>
      </c>
      <c r="E17" s="123" t="s">
        <v>133</v>
      </c>
      <c r="F17" s="123" t="s">
        <v>134</v>
      </c>
      <c r="G17" s="122" t="s">
        <v>31</v>
      </c>
      <c r="H17" s="124"/>
      <c r="I17" s="450">
        <f t="shared" si="55"/>
        <v>7648</v>
      </c>
      <c r="J17" s="281"/>
      <c r="K17" s="138"/>
      <c r="L17" s="264">
        <v>0.4236111111111111</v>
      </c>
      <c r="M17" s="258">
        <f t="shared" si="1"/>
        <v>105</v>
      </c>
      <c r="N17" s="279">
        <f t="shared" si="2"/>
        <v>0</v>
      </c>
      <c r="O17" s="259">
        <f t="shared" si="3"/>
        <v>0.49652777777777779</v>
      </c>
      <c r="P17" s="263">
        <f t="shared" si="4"/>
        <v>0.49652777777777779</v>
      </c>
      <c r="Q17" s="128">
        <f t="shared" si="5"/>
        <v>0</v>
      </c>
      <c r="R17" s="266">
        <f t="shared" si="6"/>
        <v>0</v>
      </c>
      <c r="S17" s="136">
        <f t="shared" si="7"/>
        <v>140</v>
      </c>
      <c r="T17" s="280">
        <f t="shared" si="8"/>
        <v>4</v>
      </c>
      <c r="U17" s="260">
        <f t="shared" si="9"/>
        <v>0.59375</v>
      </c>
      <c r="V17" s="261">
        <v>0.61944444444444446</v>
      </c>
      <c r="W17" s="262">
        <f t="shared" si="10"/>
        <v>37</v>
      </c>
      <c r="X17" s="267">
        <f t="shared" si="11"/>
        <v>1980</v>
      </c>
      <c r="Y17" s="136">
        <f t="shared" si="12"/>
        <v>95</v>
      </c>
      <c r="Z17" s="280">
        <f t="shared" si="13"/>
        <v>0</v>
      </c>
      <c r="AA17" s="260">
        <f t="shared" si="14"/>
        <v>0.6875</v>
      </c>
      <c r="AB17" s="128">
        <f t="shared" si="15"/>
        <v>10</v>
      </c>
      <c r="AC17" s="261">
        <v>0.69861111111111107</v>
      </c>
      <c r="AD17" s="262">
        <f t="shared" si="16"/>
        <v>16</v>
      </c>
      <c r="AE17" s="266">
        <f t="shared" si="17"/>
        <v>960</v>
      </c>
      <c r="AF17" s="261" t="s">
        <v>430</v>
      </c>
      <c r="AG17" s="266">
        <f t="shared" si="18"/>
        <v>0</v>
      </c>
      <c r="AH17" s="136">
        <f t="shared" si="19"/>
        <v>0</v>
      </c>
      <c r="AI17" s="128">
        <f t="shared" si="20"/>
        <v>0</v>
      </c>
      <c r="AJ17" s="129">
        <f t="shared" si="21"/>
        <v>0.49652777777777779</v>
      </c>
      <c r="AK17" s="137">
        <v>0.51250000000000007</v>
      </c>
      <c r="AL17" s="134"/>
      <c r="AM17" s="128">
        <f t="shared" si="22"/>
        <v>23</v>
      </c>
      <c r="AN17" s="268">
        <f t="shared" si="23"/>
        <v>0</v>
      </c>
      <c r="AO17" s="278"/>
      <c r="AP17" s="103">
        <f t="shared" si="24"/>
        <v>0.4236111111111111</v>
      </c>
      <c r="AQ17" s="132">
        <f t="shared" si="25"/>
        <v>0</v>
      </c>
      <c r="AR17" s="128">
        <f t="shared" si="56"/>
        <v>2503</v>
      </c>
      <c r="AS17" s="103">
        <f t="shared" si="26"/>
        <v>0.45258101851851851</v>
      </c>
      <c r="AT17" s="717">
        <v>0.46763888888888888</v>
      </c>
      <c r="AU17" s="133">
        <f t="shared" si="27"/>
        <v>1301</v>
      </c>
      <c r="AV17" s="135"/>
      <c r="AW17" s="270">
        <f t="shared" si="58"/>
        <v>1301</v>
      </c>
      <c r="AX17" s="127"/>
      <c r="AY17" s="130">
        <v>0.50208333333333333</v>
      </c>
      <c r="AZ17" s="132">
        <f t="shared" si="28"/>
        <v>0</v>
      </c>
      <c r="BA17" s="128">
        <f t="shared" si="29"/>
        <v>409</v>
      </c>
      <c r="BB17" s="128">
        <f t="shared" si="30"/>
        <v>570</v>
      </c>
      <c r="BC17" s="103">
        <f t="shared" si="31"/>
        <v>0.50868055555555558</v>
      </c>
      <c r="BD17" s="135">
        <v>0.50787037037037031</v>
      </c>
      <c r="BE17" s="133">
        <f t="shared" si="32"/>
        <v>-70</v>
      </c>
      <c r="BF17" s="134"/>
      <c r="BG17" s="270">
        <f t="shared" si="33"/>
        <v>0</v>
      </c>
      <c r="BH17" s="127">
        <v>0.5395833333333333</v>
      </c>
      <c r="BI17" s="130">
        <v>0.54097222222222219</v>
      </c>
      <c r="BJ17" s="132">
        <f t="shared" si="34"/>
        <v>2</v>
      </c>
      <c r="BK17" s="128">
        <f t="shared" si="35"/>
        <v>455</v>
      </c>
      <c r="BL17" s="128">
        <f t="shared" si="36"/>
        <v>670</v>
      </c>
      <c r="BM17" s="103">
        <f t="shared" si="37"/>
        <v>0.54872685185185177</v>
      </c>
      <c r="BN17" s="135">
        <v>0.54893518518518525</v>
      </c>
      <c r="BO17" s="133">
        <f t="shared" si="38"/>
        <v>18</v>
      </c>
      <c r="BP17" s="134"/>
      <c r="BQ17" s="270">
        <f t="shared" si="57"/>
        <v>18</v>
      </c>
      <c r="BR17" s="127">
        <v>0.5756944444444444</v>
      </c>
      <c r="BS17" s="130">
        <v>0.57708333333333328</v>
      </c>
      <c r="BT17" s="132">
        <f t="shared" si="39"/>
        <v>2</v>
      </c>
      <c r="BU17" s="128">
        <f t="shared" si="40"/>
        <v>1936</v>
      </c>
      <c r="BV17" s="103">
        <f t="shared" si="41"/>
        <v>0.59949074074074071</v>
      </c>
      <c r="BW17" s="135">
        <v>0.60603009259259266</v>
      </c>
      <c r="BX17" s="133">
        <f t="shared" si="42"/>
        <v>565</v>
      </c>
      <c r="BY17" s="134"/>
      <c r="BZ17" s="270">
        <f t="shared" si="43"/>
        <v>565</v>
      </c>
      <c r="CA17" s="278"/>
      <c r="CB17" s="130">
        <v>0.62152777777777779</v>
      </c>
      <c r="CC17" s="132">
        <f t="shared" si="44"/>
        <v>0</v>
      </c>
      <c r="CD17" s="128">
        <f t="shared" si="45"/>
        <v>1899</v>
      </c>
      <c r="CE17" s="103">
        <f t="shared" si="46"/>
        <v>0.64350694444444445</v>
      </c>
      <c r="CF17" s="135">
        <v>0.6502430555555555</v>
      </c>
      <c r="CG17" s="133">
        <f t="shared" si="47"/>
        <v>582</v>
      </c>
      <c r="CH17" s="134"/>
      <c r="CI17" s="270">
        <f t="shared" si="59"/>
        <v>582</v>
      </c>
      <c r="CJ17" s="278"/>
      <c r="CK17" s="263">
        <f t="shared" si="49"/>
        <v>0.69861111111111107</v>
      </c>
      <c r="CL17" s="132">
        <f t="shared" si="50"/>
        <v>0</v>
      </c>
      <c r="CM17" s="131">
        <v>60</v>
      </c>
      <c r="CN17" s="440">
        <v>132.22999999999999</v>
      </c>
      <c r="CO17" s="147">
        <f t="shared" si="51"/>
        <v>72.2</v>
      </c>
      <c r="CP17" s="134"/>
      <c r="CQ17" s="134"/>
      <c r="CR17" s="134"/>
      <c r="CS17" s="134">
        <v>1</v>
      </c>
      <c r="CT17" s="270">
        <f t="shared" si="52"/>
        <v>922</v>
      </c>
      <c r="CU17" s="451" t="s">
        <v>578</v>
      </c>
      <c r="CV17" s="126" t="s">
        <v>569</v>
      </c>
      <c r="CW17" s="719">
        <v>11</v>
      </c>
      <c r="CX17" s="282">
        <f t="shared" si="53"/>
        <v>1320</v>
      </c>
      <c r="CY17" s="283">
        <v>0</v>
      </c>
      <c r="CZ17" s="282">
        <f t="shared" si="54"/>
        <v>0</v>
      </c>
    </row>
    <row r="18" spans="1:104" x14ac:dyDescent="0.25">
      <c r="A18" s="427">
        <f t="shared" si="0"/>
        <v>15</v>
      </c>
      <c r="B18" s="122">
        <v>14</v>
      </c>
      <c r="C18" s="123" t="s">
        <v>479</v>
      </c>
      <c r="D18" s="123" t="s">
        <v>480</v>
      </c>
      <c r="E18" s="123" t="s">
        <v>174</v>
      </c>
      <c r="F18" s="123" t="s">
        <v>175</v>
      </c>
      <c r="G18" s="122" t="s">
        <v>31</v>
      </c>
      <c r="H18" s="124"/>
      <c r="I18" s="450">
        <f t="shared" si="55"/>
        <v>10460</v>
      </c>
      <c r="J18" s="281"/>
      <c r="K18" s="138"/>
      <c r="L18" s="264">
        <v>0.42638888888888887</v>
      </c>
      <c r="M18" s="258">
        <f t="shared" si="1"/>
        <v>105</v>
      </c>
      <c r="N18" s="279">
        <f t="shared" si="2"/>
        <v>0</v>
      </c>
      <c r="O18" s="259">
        <f t="shared" si="3"/>
        <v>0.49930555555555556</v>
      </c>
      <c r="P18" s="263">
        <f t="shared" si="4"/>
        <v>0.49930555555555556</v>
      </c>
      <c r="Q18" s="128">
        <f t="shared" si="5"/>
        <v>0</v>
      </c>
      <c r="R18" s="266">
        <f t="shared" si="6"/>
        <v>0</v>
      </c>
      <c r="S18" s="136">
        <f t="shared" si="7"/>
        <v>140</v>
      </c>
      <c r="T18" s="280">
        <f t="shared" si="8"/>
        <v>0</v>
      </c>
      <c r="U18" s="260">
        <f t="shared" si="9"/>
        <v>0.59652777777777777</v>
      </c>
      <c r="V18" s="261">
        <v>0.64027777777777783</v>
      </c>
      <c r="W18" s="262">
        <f t="shared" si="10"/>
        <v>63</v>
      </c>
      <c r="X18" s="267">
        <f t="shared" si="11"/>
        <v>3780</v>
      </c>
      <c r="Y18" s="136">
        <f t="shared" si="12"/>
        <v>95</v>
      </c>
      <c r="Z18" s="280">
        <f t="shared" si="13"/>
        <v>0</v>
      </c>
      <c r="AA18" s="260">
        <f t="shared" si="14"/>
        <v>0.70763888888888893</v>
      </c>
      <c r="AB18" s="128">
        <f t="shared" si="15"/>
        <v>10</v>
      </c>
      <c r="AC18" s="261">
        <v>0.7006944444444444</v>
      </c>
      <c r="AD18" s="262">
        <f t="shared" si="16"/>
        <v>-10</v>
      </c>
      <c r="AE18" s="266">
        <f t="shared" si="17"/>
        <v>0</v>
      </c>
      <c r="AF18" s="261" t="s">
        <v>430</v>
      </c>
      <c r="AG18" s="266">
        <f t="shared" si="18"/>
        <v>0</v>
      </c>
      <c r="AH18" s="136">
        <f t="shared" si="19"/>
        <v>0</v>
      </c>
      <c r="AI18" s="128">
        <f t="shared" si="20"/>
        <v>0</v>
      </c>
      <c r="AJ18" s="129">
        <f t="shared" si="21"/>
        <v>0.49930555555555556</v>
      </c>
      <c r="AK18" s="137">
        <v>0.52500000000000002</v>
      </c>
      <c r="AL18" s="134"/>
      <c r="AM18" s="128">
        <f t="shared" si="22"/>
        <v>37</v>
      </c>
      <c r="AN18" s="268">
        <f t="shared" si="23"/>
        <v>0</v>
      </c>
      <c r="AO18" s="278"/>
      <c r="AP18" s="103">
        <f t="shared" si="24"/>
        <v>0.42638888888888887</v>
      </c>
      <c r="AQ18" s="132">
        <f t="shared" si="25"/>
        <v>0</v>
      </c>
      <c r="AR18" s="128">
        <f t="shared" si="56"/>
        <v>2503</v>
      </c>
      <c r="AS18" s="103">
        <f t="shared" si="26"/>
        <v>0.45535879629629628</v>
      </c>
      <c r="AT18" s="135"/>
      <c r="AU18" s="133">
        <f t="shared" si="27"/>
        <v>-39343</v>
      </c>
      <c r="AV18" s="135"/>
      <c r="AW18" s="441">
        <v>1859.0000000000002</v>
      </c>
      <c r="AX18" s="127"/>
      <c r="AY18" s="130">
        <v>0.51388888888888895</v>
      </c>
      <c r="AZ18" s="132">
        <f t="shared" si="28"/>
        <v>0</v>
      </c>
      <c r="BA18" s="128">
        <f t="shared" si="29"/>
        <v>409</v>
      </c>
      <c r="BB18" s="128">
        <f t="shared" si="30"/>
        <v>570</v>
      </c>
      <c r="BC18" s="103">
        <f t="shared" si="31"/>
        <v>0.5204861111111112</v>
      </c>
      <c r="BD18" s="135">
        <v>0.52013888888888882</v>
      </c>
      <c r="BE18" s="133">
        <f t="shared" si="32"/>
        <v>-30</v>
      </c>
      <c r="BF18" s="134"/>
      <c r="BG18" s="270">
        <f t="shared" si="33"/>
        <v>0</v>
      </c>
      <c r="BH18" s="127">
        <v>0.57222222222222219</v>
      </c>
      <c r="BI18" s="130">
        <v>0.57222222222222219</v>
      </c>
      <c r="BJ18" s="132">
        <f t="shared" si="34"/>
        <v>0</v>
      </c>
      <c r="BK18" s="128">
        <f t="shared" si="35"/>
        <v>455</v>
      </c>
      <c r="BL18" s="128">
        <f t="shared" si="36"/>
        <v>670</v>
      </c>
      <c r="BM18" s="103">
        <f t="shared" si="37"/>
        <v>0.57997685185185177</v>
      </c>
      <c r="BN18" s="135">
        <v>0.57887731481481486</v>
      </c>
      <c r="BO18" s="133">
        <f t="shared" si="38"/>
        <v>-95</v>
      </c>
      <c r="BP18" s="134"/>
      <c r="BQ18" s="270">
        <f t="shared" si="57"/>
        <v>0</v>
      </c>
      <c r="BR18" s="127"/>
      <c r="BS18" s="130">
        <v>0.60763888888888895</v>
      </c>
      <c r="BT18" s="132">
        <f t="shared" si="39"/>
        <v>0</v>
      </c>
      <c r="BU18" s="128">
        <f t="shared" si="40"/>
        <v>1936</v>
      </c>
      <c r="BV18" s="103">
        <f t="shared" si="41"/>
        <v>0.63004629629629638</v>
      </c>
      <c r="BW18" s="135">
        <v>0.61947916666666669</v>
      </c>
      <c r="BX18" s="133">
        <f t="shared" si="42"/>
        <v>-913</v>
      </c>
      <c r="BY18" s="134"/>
      <c r="BZ18" s="270">
        <f t="shared" si="43"/>
        <v>913</v>
      </c>
      <c r="CA18" s="278"/>
      <c r="CB18" s="130">
        <v>0.64166666666666672</v>
      </c>
      <c r="CC18" s="132">
        <f t="shared" si="44"/>
        <v>0</v>
      </c>
      <c r="CD18" s="128">
        <f t="shared" si="45"/>
        <v>1899</v>
      </c>
      <c r="CE18" s="103">
        <f t="shared" si="46"/>
        <v>0.66364583333333338</v>
      </c>
      <c r="CF18" s="135">
        <v>0.65510416666666671</v>
      </c>
      <c r="CG18" s="133">
        <f t="shared" si="47"/>
        <v>-738</v>
      </c>
      <c r="CH18" s="134"/>
      <c r="CI18" s="270">
        <f t="shared" si="59"/>
        <v>738</v>
      </c>
      <c r="CJ18" s="278"/>
      <c r="CK18" s="263">
        <f t="shared" si="49"/>
        <v>0.7006944444444444</v>
      </c>
      <c r="CL18" s="132">
        <f t="shared" si="50"/>
        <v>0</v>
      </c>
      <c r="CM18" s="131">
        <v>60</v>
      </c>
      <c r="CN18" s="440">
        <v>149</v>
      </c>
      <c r="CO18" s="147">
        <f t="shared" si="51"/>
        <v>89</v>
      </c>
      <c r="CP18" s="134"/>
      <c r="CQ18" s="134"/>
      <c r="CR18" s="134"/>
      <c r="CS18" s="134">
        <v>1</v>
      </c>
      <c r="CT18" s="270">
        <f t="shared" si="52"/>
        <v>1090</v>
      </c>
      <c r="CU18" s="451" t="s">
        <v>601</v>
      </c>
      <c r="CV18" s="126" t="s">
        <v>569</v>
      </c>
      <c r="CW18" s="719">
        <v>9</v>
      </c>
      <c r="CX18" s="282">
        <f t="shared" si="53"/>
        <v>1080</v>
      </c>
      <c r="CY18" s="283">
        <v>1</v>
      </c>
      <c r="CZ18" s="282">
        <f t="shared" si="54"/>
        <v>1000</v>
      </c>
    </row>
    <row r="19" spans="1:104" x14ac:dyDescent="0.25">
      <c r="A19" s="427">
        <f t="shared" si="0"/>
        <v>13</v>
      </c>
      <c r="B19" s="122">
        <v>15</v>
      </c>
      <c r="C19" s="123" t="s">
        <v>482</v>
      </c>
      <c r="D19" s="123" t="s">
        <v>483</v>
      </c>
      <c r="E19" s="123" t="s">
        <v>485</v>
      </c>
      <c r="F19" s="123" t="s">
        <v>173</v>
      </c>
      <c r="G19" s="122" t="s">
        <v>31</v>
      </c>
      <c r="H19" s="124"/>
      <c r="I19" s="450">
        <f t="shared" si="55"/>
        <v>9738</v>
      </c>
      <c r="J19" s="281"/>
      <c r="K19" s="138"/>
      <c r="L19" s="264">
        <v>0.42708333333333331</v>
      </c>
      <c r="M19" s="258">
        <f t="shared" si="1"/>
        <v>105</v>
      </c>
      <c r="N19" s="279">
        <f t="shared" si="2"/>
        <v>0</v>
      </c>
      <c r="O19" s="259">
        <f t="shared" si="3"/>
        <v>0.5</v>
      </c>
      <c r="P19" s="263">
        <f t="shared" si="4"/>
        <v>0.5</v>
      </c>
      <c r="Q19" s="128">
        <f t="shared" si="5"/>
        <v>0</v>
      </c>
      <c r="R19" s="266">
        <f t="shared" si="6"/>
        <v>0</v>
      </c>
      <c r="S19" s="136">
        <f t="shared" si="7"/>
        <v>140</v>
      </c>
      <c r="T19" s="280">
        <f t="shared" si="8"/>
        <v>9</v>
      </c>
      <c r="U19" s="260">
        <f t="shared" si="9"/>
        <v>0.59722222222222221</v>
      </c>
      <c r="V19" s="261">
        <v>0.61111111111111105</v>
      </c>
      <c r="W19" s="262">
        <f t="shared" si="10"/>
        <v>20</v>
      </c>
      <c r="X19" s="267">
        <f t="shared" si="11"/>
        <v>660</v>
      </c>
      <c r="Y19" s="136">
        <f t="shared" si="12"/>
        <v>95</v>
      </c>
      <c r="Z19" s="280">
        <f t="shared" si="13"/>
        <v>0</v>
      </c>
      <c r="AA19" s="260">
        <f t="shared" si="14"/>
        <v>0.69027777777777777</v>
      </c>
      <c r="AB19" s="128">
        <f t="shared" si="15"/>
        <v>10</v>
      </c>
      <c r="AC19" s="261">
        <v>0.70763888888888893</v>
      </c>
      <c r="AD19" s="262">
        <f t="shared" si="16"/>
        <v>25</v>
      </c>
      <c r="AE19" s="266">
        <f t="shared" si="17"/>
        <v>1500</v>
      </c>
      <c r="AF19" s="261"/>
      <c r="AG19" s="266">
        <f t="shared" si="18"/>
        <v>300</v>
      </c>
      <c r="AH19" s="136">
        <f t="shared" si="19"/>
        <v>0</v>
      </c>
      <c r="AI19" s="128">
        <f t="shared" si="20"/>
        <v>0</v>
      </c>
      <c r="AJ19" s="129">
        <f t="shared" si="21"/>
        <v>0.5</v>
      </c>
      <c r="AK19" s="137">
        <v>0.51041666666666663</v>
      </c>
      <c r="AL19" s="134"/>
      <c r="AM19" s="128">
        <f t="shared" si="22"/>
        <v>15</v>
      </c>
      <c r="AN19" s="268">
        <f t="shared" si="23"/>
        <v>0</v>
      </c>
      <c r="AO19" s="278"/>
      <c r="AP19" s="103">
        <f t="shared" si="24"/>
        <v>0.42708333333333331</v>
      </c>
      <c r="AQ19" s="132">
        <f t="shared" si="25"/>
        <v>0</v>
      </c>
      <c r="AR19" s="128">
        <f t="shared" si="56"/>
        <v>2503</v>
      </c>
      <c r="AS19" s="103">
        <f t="shared" si="26"/>
        <v>0.45605324074074072</v>
      </c>
      <c r="AT19" s="135"/>
      <c r="AU19" s="133">
        <f t="shared" si="27"/>
        <v>-39403</v>
      </c>
      <c r="AV19" s="135"/>
      <c r="AW19" s="441">
        <v>1859.0000000000002</v>
      </c>
      <c r="AX19" s="127"/>
      <c r="AY19" s="130">
        <v>0.5</v>
      </c>
      <c r="AZ19" s="132">
        <f t="shared" si="28"/>
        <v>0</v>
      </c>
      <c r="BA19" s="128">
        <f t="shared" si="29"/>
        <v>409</v>
      </c>
      <c r="BB19" s="128">
        <f t="shared" si="30"/>
        <v>570</v>
      </c>
      <c r="BC19" s="103">
        <f t="shared" si="31"/>
        <v>0.50659722222222225</v>
      </c>
      <c r="BD19" s="135">
        <v>0.50548611111111108</v>
      </c>
      <c r="BE19" s="133">
        <f t="shared" si="32"/>
        <v>-96</v>
      </c>
      <c r="BF19" s="134"/>
      <c r="BG19" s="270">
        <f t="shared" si="33"/>
        <v>0</v>
      </c>
      <c r="BH19" s="127">
        <v>0.52777777777777779</v>
      </c>
      <c r="BI19" s="130">
        <v>0.52916666666666667</v>
      </c>
      <c r="BJ19" s="132">
        <f t="shared" si="34"/>
        <v>2</v>
      </c>
      <c r="BK19" s="128">
        <f t="shared" si="35"/>
        <v>455</v>
      </c>
      <c r="BL19" s="128">
        <f t="shared" si="36"/>
        <v>670</v>
      </c>
      <c r="BM19" s="103">
        <f t="shared" si="37"/>
        <v>0.53692129629629626</v>
      </c>
      <c r="BN19" s="135">
        <v>0.53703703703703709</v>
      </c>
      <c r="BO19" s="133">
        <f t="shared" si="38"/>
        <v>10</v>
      </c>
      <c r="BP19" s="134"/>
      <c r="BQ19" s="270">
        <f t="shared" si="57"/>
        <v>10</v>
      </c>
      <c r="BR19" s="127">
        <v>0.57291666666666663</v>
      </c>
      <c r="BS19" s="130">
        <v>0.57777777777777783</v>
      </c>
      <c r="BT19" s="132">
        <f t="shared" si="39"/>
        <v>7</v>
      </c>
      <c r="BU19" s="128">
        <f t="shared" si="40"/>
        <v>1936</v>
      </c>
      <c r="BV19" s="103">
        <f t="shared" si="41"/>
        <v>0.60018518518518527</v>
      </c>
      <c r="BW19" s="135">
        <v>0.59244212962962961</v>
      </c>
      <c r="BX19" s="133">
        <f t="shared" si="42"/>
        <v>-669</v>
      </c>
      <c r="BY19" s="134"/>
      <c r="BZ19" s="270">
        <f t="shared" si="43"/>
        <v>669</v>
      </c>
      <c r="CA19" s="278"/>
      <c r="CB19" s="718">
        <v>0.62430555555555556</v>
      </c>
      <c r="CC19" s="132">
        <f t="shared" si="44"/>
        <v>0</v>
      </c>
      <c r="CD19" s="128">
        <f t="shared" si="45"/>
        <v>1899</v>
      </c>
      <c r="CE19" s="103">
        <f t="shared" si="46"/>
        <v>0.64628472222222222</v>
      </c>
      <c r="CF19" s="135">
        <v>0.66677083333333342</v>
      </c>
      <c r="CG19" s="133">
        <f t="shared" si="47"/>
        <v>1770</v>
      </c>
      <c r="CH19" s="134"/>
      <c r="CI19" s="270">
        <f t="shared" si="59"/>
        <v>1770</v>
      </c>
      <c r="CJ19" s="278"/>
      <c r="CK19" s="263">
        <f t="shared" si="49"/>
        <v>0.70763888888888893</v>
      </c>
      <c r="CL19" s="132">
        <f t="shared" si="50"/>
        <v>0</v>
      </c>
      <c r="CM19" s="131">
        <v>60</v>
      </c>
      <c r="CN19" s="440">
        <v>188.95</v>
      </c>
      <c r="CO19" s="147">
        <f t="shared" si="51"/>
        <v>129</v>
      </c>
      <c r="CP19" s="134"/>
      <c r="CQ19" s="134"/>
      <c r="CR19" s="134"/>
      <c r="CS19" s="134"/>
      <c r="CT19" s="270">
        <f t="shared" si="52"/>
        <v>1290</v>
      </c>
      <c r="CU19" s="125" t="s">
        <v>583</v>
      </c>
      <c r="CV19" s="126" t="s">
        <v>569</v>
      </c>
      <c r="CW19" s="283">
        <v>14</v>
      </c>
      <c r="CX19" s="282">
        <f t="shared" si="53"/>
        <v>1680</v>
      </c>
      <c r="CY19" s="283">
        <v>0</v>
      </c>
      <c r="CZ19" s="282">
        <f t="shared" si="54"/>
        <v>0</v>
      </c>
    </row>
    <row r="20" spans="1:104" x14ac:dyDescent="0.25">
      <c r="A20" s="427">
        <f t="shared" si="0"/>
        <v>16</v>
      </c>
      <c r="B20" s="122">
        <v>18</v>
      </c>
      <c r="C20" s="123" t="s">
        <v>491</v>
      </c>
      <c r="D20" s="123" t="s">
        <v>492</v>
      </c>
      <c r="E20" s="123" t="s">
        <v>494</v>
      </c>
      <c r="F20" s="123" t="s">
        <v>176</v>
      </c>
      <c r="G20" s="122" t="s">
        <v>31</v>
      </c>
      <c r="H20" s="124"/>
      <c r="I20" s="450">
        <f t="shared" si="55"/>
        <v>10776</v>
      </c>
      <c r="J20" s="281"/>
      <c r="K20" s="138"/>
      <c r="L20" s="264">
        <v>0.4291666666666667</v>
      </c>
      <c r="M20" s="258">
        <f t="shared" si="1"/>
        <v>105</v>
      </c>
      <c r="N20" s="279">
        <f t="shared" si="2"/>
        <v>0</v>
      </c>
      <c r="O20" s="259">
        <f t="shared" si="3"/>
        <v>0.50208333333333333</v>
      </c>
      <c r="P20" s="263">
        <f t="shared" si="4"/>
        <v>0.50208333333333333</v>
      </c>
      <c r="Q20" s="128">
        <f t="shared" si="5"/>
        <v>0</v>
      </c>
      <c r="R20" s="266">
        <f t="shared" si="6"/>
        <v>0</v>
      </c>
      <c r="S20" s="136">
        <f t="shared" si="7"/>
        <v>140</v>
      </c>
      <c r="T20" s="280">
        <f t="shared" si="8"/>
        <v>0</v>
      </c>
      <c r="U20" s="260">
        <f t="shared" si="9"/>
        <v>0.59930555555555554</v>
      </c>
      <c r="V20" s="261">
        <v>0.63055555555555554</v>
      </c>
      <c r="W20" s="262">
        <f t="shared" si="10"/>
        <v>45</v>
      </c>
      <c r="X20" s="267">
        <f t="shared" si="11"/>
        <v>2700</v>
      </c>
      <c r="Y20" s="136">
        <f t="shared" si="12"/>
        <v>95</v>
      </c>
      <c r="Z20" s="280">
        <f t="shared" si="13"/>
        <v>0</v>
      </c>
      <c r="AA20" s="260">
        <f t="shared" si="14"/>
        <v>0.69722222222222219</v>
      </c>
      <c r="AB20" s="128">
        <f t="shared" si="15"/>
        <v>10</v>
      </c>
      <c r="AC20" s="261">
        <v>0.72361111111111109</v>
      </c>
      <c r="AD20" s="262">
        <f t="shared" si="16"/>
        <v>38</v>
      </c>
      <c r="AE20" s="266">
        <f t="shared" si="17"/>
        <v>2280</v>
      </c>
      <c r="AF20" s="261" t="s">
        <v>430</v>
      </c>
      <c r="AG20" s="266">
        <f t="shared" si="18"/>
        <v>0</v>
      </c>
      <c r="AH20" s="136">
        <f t="shared" si="19"/>
        <v>0</v>
      </c>
      <c r="AI20" s="128">
        <f t="shared" si="20"/>
        <v>0</v>
      </c>
      <c r="AJ20" s="129">
        <f t="shared" si="21"/>
        <v>0.50208333333333333</v>
      </c>
      <c r="AK20" s="137">
        <v>0.52569444444444446</v>
      </c>
      <c r="AL20" s="134"/>
      <c r="AM20" s="128">
        <f t="shared" si="22"/>
        <v>34</v>
      </c>
      <c r="AN20" s="268">
        <f t="shared" si="23"/>
        <v>0</v>
      </c>
      <c r="AO20" s="278"/>
      <c r="AP20" s="103">
        <f t="shared" si="24"/>
        <v>0.4291666666666667</v>
      </c>
      <c r="AQ20" s="132">
        <f t="shared" si="25"/>
        <v>0</v>
      </c>
      <c r="AR20" s="128">
        <f t="shared" si="56"/>
        <v>2503</v>
      </c>
      <c r="AS20" s="103">
        <f t="shared" si="26"/>
        <v>0.4581365740740741</v>
      </c>
      <c r="AT20" s="135">
        <v>0.46281250000000002</v>
      </c>
      <c r="AU20" s="133">
        <f t="shared" si="27"/>
        <v>404</v>
      </c>
      <c r="AV20" s="135"/>
      <c r="AW20" s="270">
        <f t="shared" ref="AW20:AW28" si="60">IF(NOT(OR(ISBLANK(AP20),ISBLANK(AT20))),ABS(AU20)*ШтрафОпережениеОтставаниеНаРД+IF(ISBLANK(AV20),0,ШтрафФальстартНаДС),"!!!ВРУЧНУЮ!!!")</f>
        <v>404</v>
      </c>
      <c r="AX20" s="127"/>
      <c r="AY20" s="130">
        <v>0.51527777777777783</v>
      </c>
      <c r="AZ20" s="132">
        <f t="shared" si="28"/>
        <v>0</v>
      </c>
      <c r="BA20" s="128">
        <f t="shared" si="29"/>
        <v>409</v>
      </c>
      <c r="BB20" s="128">
        <f t="shared" si="30"/>
        <v>570</v>
      </c>
      <c r="BC20" s="103">
        <f t="shared" si="31"/>
        <v>0.52187500000000009</v>
      </c>
      <c r="BD20" s="135">
        <v>0.52048611111111109</v>
      </c>
      <c r="BE20" s="133">
        <f t="shared" si="32"/>
        <v>-120</v>
      </c>
      <c r="BF20" s="134"/>
      <c r="BG20" s="270">
        <f t="shared" si="33"/>
        <v>0</v>
      </c>
      <c r="BH20" s="127"/>
      <c r="BI20" s="443">
        <v>0.57361111111111118</v>
      </c>
      <c r="BJ20" s="132">
        <f t="shared" si="34"/>
        <v>0</v>
      </c>
      <c r="BK20" s="128">
        <f t="shared" si="35"/>
        <v>455</v>
      </c>
      <c r="BL20" s="128">
        <f t="shared" si="36"/>
        <v>670</v>
      </c>
      <c r="BM20" s="103">
        <f t="shared" si="37"/>
        <v>0.58136574074074077</v>
      </c>
      <c r="BN20" s="135">
        <v>0.57754629629629628</v>
      </c>
      <c r="BO20" s="133">
        <f t="shared" si="38"/>
        <v>-330</v>
      </c>
      <c r="BP20" s="134"/>
      <c r="BQ20" s="270">
        <f t="shared" si="57"/>
        <v>180</v>
      </c>
      <c r="BR20" s="127"/>
      <c r="BS20" s="130">
        <v>0.60138888888888886</v>
      </c>
      <c r="BT20" s="132">
        <f t="shared" si="39"/>
        <v>0</v>
      </c>
      <c r="BU20" s="128">
        <f t="shared" si="40"/>
        <v>1936</v>
      </c>
      <c r="BV20" s="103">
        <f t="shared" si="41"/>
        <v>0.62379629629629629</v>
      </c>
      <c r="BW20" s="135">
        <v>0.61556712962962956</v>
      </c>
      <c r="BX20" s="133">
        <f t="shared" si="42"/>
        <v>-711</v>
      </c>
      <c r="BY20" s="134"/>
      <c r="BZ20" s="270">
        <f t="shared" si="43"/>
        <v>711</v>
      </c>
      <c r="CA20" s="278"/>
      <c r="CB20" s="130">
        <v>0.63124999999999998</v>
      </c>
      <c r="CC20" s="132">
        <f t="shared" si="44"/>
        <v>0</v>
      </c>
      <c r="CD20" s="128">
        <f t="shared" si="45"/>
        <v>1899</v>
      </c>
      <c r="CE20" s="103">
        <f t="shared" si="46"/>
        <v>0.65322916666666664</v>
      </c>
      <c r="CF20" s="442">
        <v>0.63236111111111104</v>
      </c>
      <c r="CG20" s="133">
        <f t="shared" si="47"/>
        <v>-1803</v>
      </c>
      <c r="CH20" s="134"/>
      <c r="CI20" s="270">
        <f t="shared" si="59"/>
        <v>1803</v>
      </c>
      <c r="CJ20" s="278"/>
      <c r="CK20" s="263">
        <f t="shared" si="49"/>
        <v>0.72361111111111109</v>
      </c>
      <c r="CL20" s="132">
        <f t="shared" si="50"/>
        <v>0</v>
      </c>
      <c r="CM20" s="131">
        <v>60</v>
      </c>
      <c r="CN20" s="440">
        <v>149.81</v>
      </c>
      <c r="CO20" s="147">
        <f t="shared" si="51"/>
        <v>89.8</v>
      </c>
      <c r="CP20" s="134"/>
      <c r="CQ20" s="134"/>
      <c r="CR20" s="134"/>
      <c r="CS20" s="134"/>
      <c r="CT20" s="270">
        <f t="shared" si="52"/>
        <v>898</v>
      </c>
      <c r="CU20" s="125" t="s">
        <v>585</v>
      </c>
      <c r="CV20" s="126" t="s">
        <v>569</v>
      </c>
      <c r="CW20" s="283">
        <v>15</v>
      </c>
      <c r="CX20" s="282">
        <f t="shared" si="53"/>
        <v>1800</v>
      </c>
      <c r="CY20" s="283">
        <v>0</v>
      </c>
      <c r="CZ20" s="282">
        <f t="shared" si="54"/>
        <v>0</v>
      </c>
    </row>
    <row r="21" spans="1:104" x14ac:dyDescent="0.25">
      <c r="A21" s="427">
        <f t="shared" si="0"/>
        <v>14</v>
      </c>
      <c r="B21" s="122">
        <v>17</v>
      </c>
      <c r="C21" s="123" t="s">
        <v>48</v>
      </c>
      <c r="D21" s="123" t="s">
        <v>488</v>
      </c>
      <c r="E21" s="123" t="s">
        <v>49</v>
      </c>
      <c r="F21" s="123" t="s">
        <v>140</v>
      </c>
      <c r="G21" s="122" t="s">
        <v>31</v>
      </c>
      <c r="H21" s="124"/>
      <c r="I21" s="450">
        <f t="shared" si="55"/>
        <v>9937</v>
      </c>
      <c r="J21" s="281"/>
      <c r="K21" s="138"/>
      <c r="L21" s="264">
        <v>0.4284722222222222</v>
      </c>
      <c r="M21" s="258">
        <f t="shared" si="1"/>
        <v>105</v>
      </c>
      <c r="N21" s="279">
        <f t="shared" si="2"/>
        <v>0</v>
      </c>
      <c r="O21" s="259">
        <f t="shared" si="3"/>
        <v>0.50138888888888888</v>
      </c>
      <c r="P21" s="263">
        <f t="shared" si="4"/>
        <v>0.50138888888888888</v>
      </c>
      <c r="Q21" s="128">
        <f t="shared" si="5"/>
        <v>0</v>
      </c>
      <c r="R21" s="266">
        <f t="shared" si="6"/>
        <v>0</v>
      </c>
      <c r="S21" s="136">
        <f t="shared" si="7"/>
        <v>140</v>
      </c>
      <c r="T21" s="280">
        <f t="shared" si="8"/>
        <v>2</v>
      </c>
      <c r="U21" s="260">
        <f t="shared" si="9"/>
        <v>0.59861111111111109</v>
      </c>
      <c r="V21" s="261">
        <v>0.61944444444444446</v>
      </c>
      <c r="W21" s="262">
        <f t="shared" si="10"/>
        <v>30</v>
      </c>
      <c r="X21" s="267">
        <f t="shared" si="11"/>
        <v>1680</v>
      </c>
      <c r="Y21" s="136">
        <f t="shared" si="12"/>
        <v>95</v>
      </c>
      <c r="Z21" s="280">
        <f t="shared" si="13"/>
        <v>0</v>
      </c>
      <c r="AA21" s="260">
        <f t="shared" si="14"/>
        <v>0.68611111111111112</v>
      </c>
      <c r="AB21" s="128">
        <f t="shared" si="15"/>
        <v>10</v>
      </c>
      <c r="AC21" s="261">
        <v>0.71527777777777779</v>
      </c>
      <c r="AD21" s="262">
        <f t="shared" si="16"/>
        <v>42</v>
      </c>
      <c r="AE21" s="266">
        <f t="shared" si="17"/>
        <v>2520</v>
      </c>
      <c r="AF21" s="261" t="s">
        <v>430</v>
      </c>
      <c r="AG21" s="266">
        <f t="shared" si="18"/>
        <v>0</v>
      </c>
      <c r="AH21" s="136">
        <f t="shared" si="19"/>
        <v>0</v>
      </c>
      <c r="AI21" s="128">
        <f t="shared" si="20"/>
        <v>0</v>
      </c>
      <c r="AJ21" s="129">
        <f t="shared" si="21"/>
        <v>0.50138888888888888</v>
      </c>
      <c r="AK21" s="137">
        <v>0.52013888888888882</v>
      </c>
      <c r="AL21" s="134"/>
      <c r="AM21" s="128">
        <f t="shared" si="22"/>
        <v>27</v>
      </c>
      <c r="AN21" s="268">
        <f t="shared" si="23"/>
        <v>0</v>
      </c>
      <c r="AO21" s="278"/>
      <c r="AP21" s="103">
        <f t="shared" si="24"/>
        <v>0.4284722222222222</v>
      </c>
      <c r="AQ21" s="132">
        <f t="shared" si="25"/>
        <v>0</v>
      </c>
      <c r="AR21" s="128">
        <f t="shared" si="56"/>
        <v>2503</v>
      </c>
      <c r="AS21" s="103">
        <f t="shared" si="26"/>
        <v>0.4574421296296296</v>
      </c>
      <c r="AT21" s="717">
        <v>0.47653935185185187</v>
      </c>
      <c r="AU21" s="133">
        <f t="shared" si="27"/>
        <v>1650</v>
      </c>
      <c r="AV21" s="135"/>
      <c r="AW21" s="270">
        <f t="shared" si="60"/>
        <v>1650</v>
      </c>
      <c r="AX21" s="127"/>
      <c r="AY21" s="130">
        <v>0.50902777777777775</v>
      </c>
      <c r="AZ21" s="132">
        <f t="shared" si="28"/>
        <v>0</v>
      </c>
      <c r="BA21" s="128">
        <f t="shared" si="29"/>
        <v>409</v>
      </c>
      <c r="BB21" s="128">
        <f t="shared" si="30"/>
        <v>570</v>
      </c>
      <c r="BC21" s="103">
        <f t="shared" si="31"/>
        <v>0.515625</v>
      </c>
      <c r="BD21" s="135">
        <v>0.5146412037037037</v>
      </c>
      <c r="BE21" s="133">
        <f t="shared" si="32"/>
        <v>-85</v>
      </c>
      <c r="BF21" s="134"/>
      <c r="BG21" s="270">
        <f t="shared" si="33"/>
        <v>0</v>
      </c>
      <c r="BH21" s="127">
        <v>0.5444444444444444</v>
      </c>
      <c r="BI21" s="130">
        <v>0.54583333333333328</v>
      </c>
      <c r="BJ21" s="132">
        <f t="shared" si="34"/>
        <v>2</v>
      </c>
      <c r="BK21" s="128">
        <f t="shared" si="35"/>
        <v>455</v>
      </c>
      <c r="BL21" s="128">
        <f t="shared" si="36"/>
        <v>670</v>
      </c>
      <c r="BM21" s="103">
        <f t="shared" si="37"/>
        <v>0.55358796296296287</v>
      </c>
      <c r="BN21" s="135">
        <v>0.55284722222222216</v>
      </c>
      <c r="BO21" s="133">
        <f t="shared" si="38"/>
        <v>-64</v>
      </c>
      <c r="BP21" s="134"/>
      <c r="BQ21" s="270">
        <f t="shared" si="57"/>
        <v>0</v>
      </c>
      <c r="BR21" s="127"/>
      <c r="BS21" s="130">
        <v>0.57847222222222217</v>
      </c>
      <c r="BT21" s="132">
        <f t="shared" si="39"/>
        <v>0</v>
      </c>
      <c r="BU21" s="128">
        <f t="shared" si="40"/>
        <v>1936</v>
      </c>
      <c r="BV21" s="103">
        <f t="shared" si="41"/>
        <v>0.6008796296296296</v>
      </c>
      <c r="BW21" s="135">
        <v>0.60307870370370364</v>
      </c>
      <c r="BX21" s="133">
        <f t="shared" si="42"/>
        <v>190</v>
      </c>
      <c r="BY21" s="134"/>
      <c r="BZ21" s="270">
        <f t="shared" si="43"/>
        <v>190</v>
      </c>
      <c r="CA21" s="278"/>
      <c r="CB21" s="130">
        <v>0.62013888888888891</v>
      </c>
      <c r="CC21" s="132">
        <f t="shared" si="44"/>
        <v>0</v>
      </c>
      <c r="CD21" s="128">
        <f t="shared" si="45"/>
        <v>1899</v>
      </c>
      <c r="CE21" s="103">
        <f t="shared" si="46"/>
        <v>0.64211805555555557</v>
      </c>
      <c r="CF21" s="135">
        <v>0.65517361111111116</v>
      </c>
      <c r="CG21" s="133">
        <f t="shared" si="47"/>
        <v>1128</v>
      </c>
      <c r="CH21" s="134"/>
      <c r="CI21" s="270">
        <f t="shared" si="59"/>
        <v>1128</v>
      </c>
      <c r="CJ21" s="278"/>
      <c r="CK21" s="263">
        <f t="shared" si="49"/>
        <v>0.71527777777777779</v>
      </c>
      <c r="CL21" s="132">
        <f t="shared" si="50"/>
        <v>0</v>
      </c>
      <c r="CM21" s="131">
        <v>60</v>
      </c>
      <c r="CN21" s="440">
        <v>168.9</v>
      </c>
      <c r="CO21" s="147">
        <f t="shared" si="51"/>
        <v>108.9</v>
      </c>
      <c r="CP21" s="134"/>
      <c r="CQ21" s="134"/>
      <c r="CR21" s="134"/>
      <c r="CS21" s="134"/>
      <c r="CT21" s="270">
        <f t="shared" si="52"/>
        <v>1089</v>
      </c>
      <c r="CU21" s="125" t="s">
        <v>603</v>
      </c>
      <c r="CV21" s="126" t="s">
        <v>569</v>
      </c>
      <c r="CW21" s="719">
        <v>14</v>
      </c>
      <c r="CX21" s="282">
        <f t="shared" si="53"/>
        <v>1680</v>
      </c>
      <c r="CY21" s="283">
        <v>0</v>
      </c>
      <c r="CZ21" s="282">
        <f t="shared" si="54"/>
        <v>0</v>
      </c>
    </row>
    <row r="22" spans="1:104" x14ac:dyDescent="0.25">
      <c r="A22" s="427">
        <f t="shared" si="0"/>
        <v>17</v>
      </c>
      <c r="B22" s="122">
        <v>16</v>
      </c>
      <c r="C22" s="123" t="s">
        <v>168</v>
      </c>
      <c r="D22" s="123" t="s">
        <v>486</v>
      </c>
      <c r="E22" s="123" t="s">
        <v>170</v>
      </c>
      <c r="F22" s="123" t="s">
        <v>172</v>
      </c>
      <c r="G22" s="122" t="s">
        <v>31</v>
      </c>
      <c r="H22" s="124"/>
      <c r="I22" s="450">
        <f t="shared" si="55"/>
        <v>11653</v>
      </c>
      <c r="J22" s="281"/>
      <c r="K22" s="138"/>
      <c r="L22" s="264">
        <v>0.42777777777777781</v>
      </c>
      <c r="M22" s="258">
        <f t="shared" si="1"/>
        <v>105</v>
      </c>
      <c r="N22" s="279">
        <f t="shared" si="2"/>
        <v>0</v>
      </c>
      <c r="O22" s="259">
        <f t="shared" si="3"/>
        <v>0.50069444444444444</v>
      </c>
      <c r="P22" s="263">
        <f t="shared" si="4"/>
        <v>0.50069444444444444</v>
      </c>
      <c r="Q22" s="128">
        <f t="shared" si="5"/>
        <v>0</v>
      </c>
      <c r="R22" s="266">
        <f t="shared" si="6"/>
        <v>0</v>
      </c>
      <c r="S22" s="136">
        <f t="shared" si="7"/>
        <v>140</v>
      </c>
      <c r="T22" s="280">
        <f t="shared" si="8"/>
        <v>0</v>
      </c>
      <c r="U22" s="260">
        <f t="shared" si="9"/>
        <v>0.59791666666666665</v>
      </c>
      <c r="V22" s="261">
        <v>0.64444444444444449</v>
      </c>
      <c r="W22" s="262">
        <f t="shared" si="10"/>
        <v>67</v>
      </c>
      <c r="X22" s="267">
        <f t="shared" si="11"/>
        <v>4020</v>
      </c>
      <c r="Y22" s="136">
        <f t="shared" si="12"/>
        <v>95</v>
      </c>
      <c r="Z22" s="280">
        <f t="shared" si="13"/>
        <v>0</v>
      </c>
      <c r="AA22" s="260">
        <f t="shared" si="14"/>
        <v>0.71111111111111103</v>
      </c>
      <c r="AB22" s="128">
        <f t="shared" si="15"/>
        <v>10</v>
      </c>
      <c r="AC22" s="261">
        <v>0.69791666666666663</v>
      </c>
      <c r="AD22" s="262">
        <f t="shared" si="16"/>
        <v>-19</v>
      </c>
      <c r="AE22" s="266">
        <f t="shared" si="17"/>
        <v>2280</v>
      </c>
      <c r="AF22" s="261" t="s">
        <v>430</v>
      </c>
      <c r="AG22" s="266">
        <f t="shared" si="18"/>
        <v>0</v>
      </c>
      <c r="AH22" s="136">
        <f t="shared" si="19"/>
        <v>0</v>
      </c>
      <c r="AI22" s="128">
        <f t="shared" si="20"/>
        <v>0</v>
      </c>
      <c r="AJ22" s="129">
        <f t="shared" si="21"/>
        <v>0.50069444444444444</v>
      </c>
      <c r="AK22" s="137">
        <v>0.52569444444444446</v>
      </c>
      <c r="AL22" s="134"/>
      <c r="AM22" s="128">
        <f t="shared" si="22"/>
        <v>36</v>
      </c>
      <c r="AN22" s="268">
        <f t="shared" si="23"/>
        <v>0</v>
      </c>
      <c r="AO22" s="278"/>
      <c r="AP22" s="103">
        <f t="shared" si="24"/>
        <v>0.42777777777777781</v>
      </c>
      <c r="AQ22" s="132">
        <f t="shared" si="25"/>
        <v>0</v>
      </c>
      <c r="AR22" s="128">
        <f t="shared" si="56"/>
        <v>2503</v>
      </c>
      <c r="AS22" s="103">
        <f t="shared" si="26"/>
        <v>0.45674768518518521</v>
      </c>
      <c r="AT22" s="135">
        <v>0.46276620370370369</v>
      </c>
      <c r="AU22" s="133">
        <f t="shared" si="27"/>
        <v>520</v>
      </c>
      <c r="AV22" s="135"/>
      <c r="AW22" s="270">
        <f t="shared" si="60"/>
        <v>520</v>
      </c>
      <c r="AX22" s="127"/>
      <c r="AY22" s="130">
        <v>0.51458333333333328</v>
      </c>
      <c r="AZ22" s="132">
        <f t="shared" si="28"/>
        <v>0</v>
      </c>
      <c r="BA22" s="128">
        <f t="shared" si="29"/>
        <v>409</v>
      </c>
      <c r="BB22" s="128">
        <f t="shared" si="30"/>
        <v>570</v>
      </c>
      <c r="BC22" s="103">
        <f t="shared" si="31"/>
        <v>0.52118055555555554</v>
      </c>
      <c r="BD22" s="135">
        <v>0.52042824074074068</v>
      </c>
      <c r="BE22" s="133">
        <f t="shared" si="32"/>
        <v>-65</v>
      </c>
      <c r="BF22" s="134"/>
      <c r="BG22" s="270">
        <f t="shared" si="33"/>
        <v>0</v>
      </c>
      <c r="BH22" s="127"/>
      <c r="BI22" s="443">
        <v>0.57361111111111118</v>
      </c>
      <c r="BJ22" s="132">
        <f t="shared" si="34"/>
        <v>0</v>
      </c>
      <c r="BK22" s="128">
        <f t="shared" si="35"/>
        <v>455</v>
      </c>
      <c r="BL22" s="128">
        <f t="shared" si="36"/>
        <v>670</v>
      </c>
      <c r="BM22" s="103">
        <f t="shared" si="37"/>
        <v>0.58136574074074077</v>
      </c>
      <c r="BN22" s="135">
        <v>0.57890046296296294</v>
      </c>
      <c r="BO22" s="133">
        <f t="shared" si="38"/>
        <v>-213</v>
      </c>
      <c r="BP22" s="134"/>
      <c r="BQ22" s="270">
        <f t="shared" si="57"/>
        <v>0</v>
      </c>
      <c r="BR22" s="127"/>
      <c r="BS22" s="130">
        <v>0.6069444444444444</v>
      </c>
      <c r="BT22" s="132">
        <f t="shared" si="39"/>
        <v>0</v>
      </c>
      <c r="BU22" s="128">
        <f t="shared" si="40"/>
        <v>1936</v>
      </c>
      <c r="BV22" s="103">
        <f t="shared" si="41"/>
        <v>0.62935185185185183</v>
      </c>
      <c r="BW22" s="135">
        <v>0.6205208333333333</v>
      </c>
      <c r="BX22" s="133">
        <f t="shared" si="42"/>
        <v>-763</v>
      </c>
      <c r="BY22" s="134"/>
      <c r="BZ22" s="270">
        <f t="shared" si="43"/>
        <v>763</v>
      </c>
      <c r="CA22" s="278"/>
      <c r="CB22" s="130">
        <v>0.64513888888888882</v>
      </c>
      <c r="CC22" s="132">
        <f t="shared" si="44"/>
        <v>0</v>
      </c>
      <c r="CD22" s="128">
        <f t="shared" si="45"/>
        <v>1899</v>
      </c>
      <c r="CE22" s="103">
        <f t="shared" si="46"/>
        <v>0.66711805555555548</v>
      </c>
      <c r="CF22" s="135">
        <v>0.64612268518518523</v>
      </c>
      <c r="CG22" s="133">
        <f t="shared" si="47"/>
        <v>-1814</v>
      </c>
      <c r="CH22" s="134"/>
      <c r="CI22" s="270">
        <f t="shared" si="59"/>
        <v>1814</v>
      </c>
      <c r="CJ22" s="278"/>
      <c r="CK22" s="263">
        <f t="shared" si="49"/>
        <v>0.69791666666666663</v>
      </c>
      <c r="CL22" s="132">
        <f t="shared" si="50"/>
        <v>0</v>
      </c>
      <c r="CM22" s="131">
        <v>60</v>
      </c>
      <c r="CN22" s="440">
        <v>117.56</v>
      </c>
      <c r="CO22" s="147">
        <f t="shared" si="51"/>
        <v>57.6</v>
      </c>
      <c r="CP22" s="134"/>
      <c r="CQ22" s="134"/>
      <c r="CR22" s="134"/>
      <c r="CS22" s="134"/>
      <c r="CT22" s="270">
        <f t="shared" si="52"/>
        <v>576</v>
      </c>
      <c r="CU22" s="125" t="s">
        <v>600</v>
      </c>
      <c r="CV22" s="126" t="s">
        <v>569</v>
      </c>
      <c r="CW22" s="283">
        <v>14</v>
      </c>
      <c r="CX22" s="282">
        <f t="shared" si="53"/>
        <v>1680</v>
      </c>
      <c r="CY22" s="283">
        <v>0</v>
      </c>
      <c r="CZ22" s="282">
        <f t="shared" si="54"/>
        <v>0</v>
      </c>
    </row>
    <row r="23" spans="1:104" x14ac:dyDescent="0.25">
      <c r="A23" s="427">
        <f t="shared" ref="A23:A34" si="61">_xlfn.RANK.EQ(I23,$I$23:$I$34,1)</f>
        <v>1</v>
      </c>
      <c r="B23" s="416">
        <v>24</v>
      </c>
      <c r="C23" s="417" t="s">
        <v>508</v>
      </c>
      <c r="D23" s="417" t="s">
        <v>158</v>
      </c>
      <c r="E23" s="417" t="s">
        <v>159</v>
      </c>
      <c r="F23" s="417" t="s">
        <v>160</v>
      </c>
      <c r="G23" s="416" t="s">
        <v>30</v>
      </c>
      <c r="H23" s="418"/>
      <c r="I23" s="450">
        <f t="shared" si="55"/>
        <v>2282</v>
      </c>
      <c r="J23" s="281"/>
      <c r="K23" s="138"/>
      <c r="L23" s="264">
        <v>0.43333333333333335</v>
      </c>
      <c r="M23" s="258">
        <f t="shared" si="1"/>
        <v>105</v>
      </c>
      <c r="N23" s="279">
        <f t="shared" si="2"/>
        <v>0</v>
      </c>
      <c r="O23" s="259">
        <f t="shared" si="3"/>
        <v>0.50624999999999998</v>
      </c>
      <c r="P23" s="263">
        <f t="shared" si="4"/>
        <v>0.50624999999999998</v>
      </c>
      <c r="Q23" s="128">
        <f t="shared" si="5"/>
        <v>0</v>
      </c>
      <c r="R23" s="266">
        <f t="shared" si="6"/>
        <v>0</v>
      </c>
      <c r="S23" s="136">
        <f t="shared" si="7"/>
        <v>140</v>
      </c>
      <c r="T23" s="280">
        <f t="shared" si="8"/>
        <v>4</v>
      </c>
      <c r="U23" s="260">
        <f t="shared" si="9"/>
        <v>0.60347222222222219</v>
      </c>
      <c r="V23" s="261">
        <v>0.60347222222222219</v>
      </c>
      <c r="W23" s="262">
        <f t="shared" si="10"/>
        <v>0</v>
      </c>
      <c r="X23" s="267">
        <f t="shared" si="11"/>
        <v>0</v>
      </c>
      <c r="Y23" s="136">
        <f t="shared" si="12"/>
        <v>95</v>
      </c>
      <c r="Z23" s="280">
        <f t="shared" si="13"/>
        <v>0</v>
      </c>
      <c r="AA23" s="260">
        <f t="shared" si="14"/>
        <v>0.67013888888888884</v>
      </c>
      <c r="AB23" s="128">
        <f t="shared" si="15"/>
        <v>10</v>
      </c>
      <c r="AC23" s="261">
        <v>0.67083333333333339</v>
      </c>
      <c r="AD23" s="262">
        <f t="shared" si="16"/>
        <v>1</v>
      </c>
      <c r="AE23" s="266">
        <f t="shared" si="17"/>
        <v>60</v>
      </c>
      <c r="AF23" s="261" t="s">
        <v>430</v>
      </c>
      <c r="AG23" s="266">
        <f t="shared" si="18"/>
        <v>0</v>
      </c>
      <c r="AH23" s="136">
        <f t="shared" si="19"/>
        <v>0</v>
      </c>
      <c r="AI23" s="128">
        <f t="shared" si="20"/>
        <v>0</v>
      </c>
      <c r="AJ23" s="129">
        <f t="shared" si="21"/>
        <v>0.50624999999999998</v>
      </c>
      <c r="AK23" s="137">
        <v>0.50694444444444442</v>
      </c>
      <c r="AL23" s="134"/>
      <c r="AM23" s="128">
        <f t="shared" si="22"/>
        <v>1</v>
      </c>
      <c r="AN23" s="268">
        <f t="shared" si="23"/>
        <v>0</v>
      </c>
      <c r="AO23" s="278"/>
      <c r="AP23" s="103">
        <f t="shared" si="24"/>
        <v>0.43333333333333335</v>
      </c>
      <c r="AQ23" s="132">
        <f t="shared" si="25"/>
        <v>0</v>
      </c>
      <c r="AR23" s="128">
        <f t="shared" si="56"/>
        <v>2503</v>
      </c>
      <c r="AS23" s="103">
        <f t="shared" si="26"/>
        <v>0.46230324074074075</v>
      </c>
      <c r="AT23" s="135">
        <v>0.46203703703703702</v>
      </c>
      <c r="AU23" s="133">
        <f t="shared" si="27"/>
        <v>-23</v>
      </c>
      <c r="AV23" s="135"/>
      <c r="AW23" s="270">
        <f t="shared" si="60"/>
        <v>23</v>
      </c>
      <c r="AX23" s="127"/>
      <c r="AY23" s="130">
        <v>0.48958333333333331</v>
      </c>
      <c r="AZ23" s="132">
        <f t="shared" si="28"/>
        <v>0</v>
      </c>
      <c r="BA23" s="128">
        <f t="shared" si="29"/>
        <v>409</v>
      </c>
      <c r="BB23" s="128">
        <f t="shared" si="30"/>
        <v>570</v>
      </c>
      <c r="BC23" s="103">
        <f t="shared" si="31"/>
        <v>0.49618055555555551</v>
      </c>
      <c r="BD23" s="135">
        <v>0.49583333333333335</v>
      </c>
      <c r="BE23" s="133">
        <f t="shared" si="32"/>
        <v>-30</v>
      </c>
      <c r="BF23" s="134"/>
      <c r="BG23" s="270">
        <f t="shared" si="33"/>
        <v>0</v>
      </c>
      <c r="BH23" s="127">
        <v>0.52777777777777779</v>
      </c>
      <c r="BI23" s="130">
        <v>0.52847222222222223</v>
      </c>
      <c r="BJ23" s="132">
        <f t="shared" si="34"/>
        <v>1</v>
      </c>
      <c r="BK23" s="128">
        <f t="shared" si="35"/>
        <v>455</v>
      </c>
      <c r="BL23" s="128">
        <f t="shared" si="36"/>
        <v>670</v>
      </c>
      <c r="BM23" s="103">
        <f t="shared" si="37"/>
        <v>0.53622685185185182</v>
      </c>
      <c r="BN23" s="135">
        <v>0.53478009259259263</v>
      </c>
      <c r="BO23" s="133">
        <f t="shared" si="38"/>
        <v>-125</v>
      </c>
      <c r="BP23" s="134"/>
      <c r="BQ23" s="270">
        <f t="shared" si="57"/>
        <v>0</v>
      </c>
      <c r="BR23" s="127">
        <v>0.56597222222222221</v>
      </c>
      <c r="BS23" s="130">
        <v>0.56805555555555554</v>
      </c>
      <c r="BT23" s="132">
        <f t="shared" si="39"/>
        <v>3</v>
      </c>
      <c r="BU23" s="128">
        <f t="shared" si="40"/>
        <v>1936</v>
      </c>
      <c r="BV23" s="103">
        <f t="shared" si="41"/>
        <v>0.59046296296296297</v>
      </c>
      <c r="BW23" s="135">
        <v>0.58429398148148148</v>
      </c>
      <c r="BX23" s="133">
        <f t="shared" si="42"/>
        <v>-533</v>
      </c>
      <c r="BY23" s="134"/>
      <c r="BZ23" s="270">
        <f t="shared" si="43"/>
        <v>533</v>
      </c>
      <c r="CA23" s="278"/>
      <c r="CB23" s="130">
        <v>0.60416666666666663</v>
      </c>
      <c r="CC23" s="132">
        <f t="shared" si="44"/>
        <v>0</v>
      </c>
      <c r="CD23" s="128">
        <f t="shared" si="45"/>
        <v>1899</v>
      </c>
      <c r="CE23" s="103">
        <f t="shared" si="46"/>
        <v>0.62614583333333329</v>
      </c>
      <c r="CF23" s="135">
        <v>0.63082175925925921</v>
      </c>
      <c r="CG23" s="133">
        <f t="shared" si="47"/>
        <v>404</v>
      </c>
      <c r="CH23" s="134"/>
      <c r="CI23" s="270">
        <f t="shared" si="59"/>
        <v>404</v>
      </c>
      <c r="CJ23" s="278"/>
      <c r="CK23" s="263">
        <f t="shared" si="49"/>
        <v>0.67083333333333339</v>
      </c>
      <c r="CL23" s="132">
        <f t="shared" si="50"/>
        <v>0</v>
      </c>
      <c r="CM23" s="131">
        <v>60</v>
      </c>
      <c r="CN23" s="440">
        <v>102.24</v>
      </c>
      <c r="CO23" s="147">
        <f t="shared" si="51"/>
        <v>42.2</v>
      </c>
      <c r="CP23" s="134"/>
      <c r="CQ23" s="134"/>
      <c r="CR23" s="134"/>
      <c r="CS23" s="134"/>
      <c r="CT23" s="270">
        <f t="shared" si="52"/>
        <v>422</v>
      </c>
      <c r="CU23" s="125" t="s">
        <v>589</v>
      </c>
      <c r="CV23" s="126" t="s">
        <v>569</v>
      </c>
      <c r="CW23" s="283">
        <v>7</v>
      </c>
      <c r="CX23" s="282">
        <f t="shared" si="53"/>
        <v>840</v>
      </c>
      <c r="CY23" s="283">
        <v>0</v>
      </c>
      <c r="CZ23" s="282">
        <f t="shared" si="54"/>
        <v>0</v>
      </c>
    </row>
    <row r="24" spans="1:104" x14ac:dyDescent="0.25">
      <c r="A24" s="427">
        <f t="shared" si="61"/>
        <v>2</v>
      </c>
      <c r="B24" s="416">
        <v>26</v>
      </c>
      <c r="C24" s="417" t="s">
        <v>514</v>
      </c>
      <c r="D24" s="417" t="s">
        <v>515</v>
      </c>
      <c r="E24" s="417" t="s">
        <v>165</v>
      </c>
      <c r="F24" s="417" t="s">
        <v>166</v>
      </c>
      <c r="G24" s="416" t="s">
        <v>30</v>
      </c>
      <c r="H24" s="418"/>
      <c r="I24" s="450">
        <f t="shared" si="55"/>
        <v>2360</v>
      </c>
      <c r="J24" s="281"/>
      <c r="K24" s="138"/>
      <c r="L24" s="264">
        <v>0.43472222222222223</v>
      </c>
      <c r="M24" s="258">
        <f t="shared" si="1"/>
        <v>105</v>
      </c>
      <c r="N24" s="279">
        <f t="shared" si="2"/>
        <v>0</v>
      </c>
      <c r="O24" s="259">
        <f t="shared" si="3"/>
        <v>0.50763888888888886</v>
      </c>
      <c r="P24" s="263">
        <f t="shared" si="4"/>
        <v>0.50763888888888886</v>
      </c>
      <c r="Q24" s="128">
        <f t="shared" si="5"/>
        <v>0</v>
      </c>
      <c r="R24" s="266">
        <f t="shared" si="6"/>
        <v>0</v>
      </c>
      <c r="S24" s="136">
        <f t="shared" si="7"/>
        <v>140</v>
      </c>
      <c r="T24" s="280">
        <f t="shared" si="8"/>
        <v>2</v>
      </c>
      <c r="U24" s="260">
        <f t="shared" si="9"/>
        <v>0.60486111111111107</v>
      </c>
      <c r="V24" s="261">
        <v>0.60763888888888895</v>
      </c>
      <c r="W24" s="262">
        <f t="shared" si="10"/>
        <v>4</v>
      </c>
      <c r="X24" s="267">
        <f t="shared" si="11"/>
        <v>120</v>
      </c>
      <c r="Y24" s="136">
        <f t="shared" si="12"/>
        <v>95</v>
      </c>
      <c r="Z24" s="280">
        <f t="shared" si="13"/>
        <v>0</v>
      </c>
      <c r="AA24" s="260">
        <f t="shared" si="14"/>
        <v>0.67430555555555549</v>
      </c>
      <c r="AB24" s="128">
        <f t="shared" si="15"/>
        <v>10</v>
      </c>
      <c r="AC24" s="261">
        <v>0.67222222222222217</v>
      </c>
      <c r="AD24" s="262">
        <f t="shared" si="16"/>
        <v>-3</v>
      </c>
      <c r="AE24" s="266">
        <f t="shared" si="17"/>
        <v>0</v>
      </c>
      <c r="AF24" s="261" t="s">
        <v>430</v>
      </c>
      <c r="AG24" s="266">
        <f t="shared" si="18"/>
        <v>0</v>
      </c>
      <c r="AH24" s="136">
        <f t="shared" si="19"/>
        <v>0</v>
      </c>
      <c r="AI24" s="128">
        <f t="shared" si="20"/>
        <v>0</v>
      </c>
      <c r="AJ24" s="129">
        <f t="shared" si="21"/>
        <v>0.50763888888888886</v>
      </c>
      <c r="AK24" s="137">
        <v>0.5083333333333333</v>
      </c>
      <c r="AL24" s="134"/>
      <c r="AM24" s="128">
        <f t="shared" si="22"/>
        <v>1</v>
      </c>
      <c r="AN24" s="268">
        <f t="shared" si="23"/>
        <v>0</v>
      </c>
      <c r="AO24" s="278"/>
      <c r="AP24" s="103">
        <f t="shared" si="24"/>
        <v>0.43472222222222223</v>
      </c>
      <c r="AQ24" s="132">
        <f t="shared" si="25"/>
        <v>0</v>
      </c>
      <c r="AR24" s="128">
        <f t="shared" si="56"/>
        <v>2503</v>
      </c>
      <c r="AS24" s="103">
        <f t="shared" si="26"/>
        <v>0.46369212962962963</v>
      </c>
      <c r="AT24" s="135">
        <v>0.4763425925925926</v>
      </c>
      <c r="AU24" s="133">
        <f t="shared" si="27"/>
        <v>1093</v>
      </c>
      <c r="AV24" s="135"/>
      <c r="AW24" s="270">
        <f t="shared" si="60"/>
        <v>1093</v>
      </c>
      <c r="AX24" s="127"/>
      <c r="AY24" s="130">
        <v>0.49236111111111108</v>
      </c>
      <c r="AZ24" s="132">
        <f t="shared" si="28"/>
        <v>0</v>
      </c>
      <c r="BA24" s="128">
        <f t="shared" si="29"/>
        <v>409</v>
      </c>
      <c r="BB24" s="128">
        <f t="shared" si="30"/>
        <v>570</v>
      </c>
      <c r="BC24" s="103">
        <f t="shared" si="31"/>
        <v>0.49895833333333328</v>
      </c>
      <c r="BD24" s="135">
        <v>0.49879629629629635</v>
      </c>
      <c r="BE24" s="133">
        <f t="shared" si="32"/>
        <v>-14</v>
      </c>
      <c r="BF24" s="134"/>
      <c r="BG24" s="270">
        <f t="shared" si="33"/>
        <v>0</v>
      </c>
      <c r="BH24" s="127">
        <v>0.52847222222222223</v>
      </c>
      <c r="BI24" s="130">
        <v>0.52986111111111112</v>
      </c>
      <c r="BJ24" s="132">
        <f t="shared" si="34"/>
        <v>2</v>
      </c>
      <c r="BK24" s="128">
        <f t="shared" si="35"/>
        <v>455</v>
      </c>
      <c r="BL24" s="128">
        <f t="shared" si="36"/>
        <v>670</v>
      </c>
      <c r="BM24" s="103">
        <f t="shared" si="37"/>
        <v>0.5376157407407407</v>
      </c>
      <c r="BN24" s="135">
        <v>0.53761574074074081</v>
      </c>
      <c r="BO24" s="133">
        <f t="shared" si="38"/>
        <v>0</v>
      </c>
      <c r="BP24" s="134"/>
      <c r="BQ24" s="270">
        <f t="shared" si="57"/>
        <v>0</v>
      </c>
      <c r="BR24" s="127"/>
      <c r="BS24" s="130">
        <v>0.5708333333333333</v>
      </c>
      <c r="BT24" s="132">
        <f t="shared" si="39"/>
        <v>0</v>
      </c>
      <c r="BU24" s="128">
        <f t="shared" si="40"/>
        <v>1936</v>
      </c>
      <c r="BV24" s="103">
        <f t="shared" si="41"/>
        <v>0.59324074074074074</v>
      </c>
      <c r="BW24" s="135">
        <v>0.59435185185185191</v>
      </c>
      <c r="BX24" s="133">
        <f t="shared" si="42"/>
        <v>96</v>
      </c>
      <c r="BY24" s="134"/>
      <c r="BZ24" s="270">
        <f t="shared" si="43"/>
        <v>96</v>
      </c>
      <c r="CA24" s="278"/>
      <c r="CB24" s="130">
        <v>0.60833333333333328</v>
      </c>
      <c r="CC24" s="132">
        <f t="shared" si="44"/>
        <v>0</v>
      </c>
      <c r="CD24" s="128">
        <f t="shared" si="45"/>
        <v>1899</v>
      </c>
      <c r="CE24" s="103">
        <f t="shared" si="46"/>
        <v>0.63031249999999994</v>
      </c>
      <c r="CF24" s="135">
        <v>0.62988425925925928</v>
      </c>
      <c r="CG24" s="133">
        <f t="shared" si="47"/>
        <v>-37</v>
      </c>
      <c r="CH24" s="134"/>
      <c r="CI24" s="270">
        <f t="shared" si="59"/>
        <v>37</v>
      </c>
      <c r="CJ24" s="278"/>
      <c r="CK24" s="263">
        <f t="shared" si="49"/>
        <v>0.67222222222222217</v>
      </c>
      <c r="CL24" s="132">
        <f t="shared" si="50"/>
        <v>0</v>
      </c>
      <c r="CM24" s="131">
        <v>60</v>
      </c>
      <c r="CN24" s="440">
        <v>129.38</v>
      </c>
      <c r="CO24" s="147">
        <f t="shared" si="51"/>
        <v>69.400000000000006</v>
      </c>
      <c r="CP24" s="134"/>
      <c r="CQ24" s="134"/>
      <c r="CR24" s="134"/>
      <c r="CS24" s="134">
        <v>1</v>
      </c>
      <c r="CT24" s="270">
        <f t="shared" si="52"/>
        <v>894</v>
      </c>
      <c r="CU24" s="125" t="s">
        <v>592</v>
      </c>
      <c r="CV24" s="126" t="s">
        <v>569</v>
      </c>
      <c r="CW24" s="283">
        <v>1</v>
      </c>
      <c r="CX24" s="282">
        <f t="shared" si="53"/>
        <v>120</v>
      </c>
      <c r="CY24" s="283">
        <v>0</v>
      </c>
      <c r="CZ24" s="282">
        <f t="shared" si="54"/>
        <v>0</v>
      </c>
    </row>
    <row r="25" spans="1:104" x14ac:dyDescent="0.25">
      <c r="A25" s="427">
        <f t="shared" si="61"/>
        <v>3</v>
      </c>
      <c r="B25" s="416">
        <v>29</v>
      </c>
      <c r="C25" s="417" t="s">
        <v>562</v>
      </c>
      <c r="D25" s="417" t="s">
        <v>525</v>
      </c>
      <c r="E25" s="417" t="s">
        <v>527</v>
      </c>
      <c r="F25" s="417" t="s">
        <v>528</v>
      </c>
      <c r="G25" s="416" t="s">
        <v>30</v>
      </c>
      <c r="H25" s="418"/>
      <c r="I25" s="450">
        <f t="shared" si="55"/>
        <v>2636</v>
      </c>
      <c r="J25" s="281"/>
      <c r="K25" s="138"/>
      <c r="L25" s="264">
        <v>0.4368055555555555</v>
      </c>
      <c r="M25" s="258">
        <f t="shared" si="1"/>
        <v>105</v>
      </c>
      <c r="N25" s="279">
        <f t="shared" si="2"/>
        <v>0</v>
      </c>
      <c r="O25" s="259">
        <f t="shared" si="3"/>
        <v>0.50972222222222219</v>
      </c>
      <c r="P25" s="263">
        <f t="shared" si="4"/>
        <v>0.50972222222222219</v>
      </c>
      <c r="Q25" s="128">
        <f t="shared" si="5"/>
        <v>0</v>
      </c>
      <c r="R25" s="266">
        <f t="shared" si="6"/>
        <v>0</v>
      </c>
      <c r="S25" s="136">
        <f t="shared" si="7"/>
        <v>140</v>
      </c>
      <c r="T25" s="280">
        <f t="shared" si="8"/>
        <v>6</v>
      </c>
      <c r="U25" s="260">
        <f t="shared" si="9"/>
        <v>0.6069444444444444</v>
      </c>
      <c r="V25" s="261">
        <v>0.60625000000000007</v>
      </c>
      <c r="W25" s="262">
        <f t="shared" si="10"/>
        <v>-1</v>
      </c>
      <c r="X25" s="267">
        <f t="shared" si="11"/>
        <v>0</v>
      </c>
      <c r="Y25" s="136">
        <f t="shared" si="12"/>
        <v>95</v>
      </c>
      <c r="Z25" s="280">
        <f t="shared" si="13"/>
        <v>0</v>
      </c>
      <c r="AA25" s="260">
        <f t="shared" si="14"/>
        <v>0.67291666666666661</v>
      </c>
      <c r="AB25" s="128">
        <f t="shared" si="15"/>
        <v>10</v>
      </c>
      <c r="AC25" s="261">
        <v>0.67638888888888893</v>
      </c>
      <c r="AD25" s="262">
        <f t="shared" si="16"/>
        <v>5</v>
      </c>
      <c r="AE25" s="266">
        <f t="shared" si="17"/>
        <v>300</v>
      </c>
      <c r="AF25" s="261" t="s">
        <v>430</v>
      </c>
      <c r="AG25" s="266">
        <f t="shared" si="18"/>
        <v>0</v>
      </c>
      <c r="AH25" s="136">
        <f t="shared" si="19"/>
        <v>0</v>
      </c>
      <c r="AI25" s="128">
        <f t="shared" si="20"/>
        <v>0</v>
      </c>
      <c r="AJ25" s="129">
        <f t="shared" si="21"/>
        <v>0.50972222222222219</v>
      </c>
      <c r="AK25" s="137">
        <v>0.50972222222222219</v>
      </c>
      <c r="AL25" s="134"/>
      <c r="AM25" s="128">
        <f t="shared" si="22"/>
        <v>0</v>
      </c>
      <c r="AN25" s="268">
        <f t="shared" si="23"/>
        <v>0</v>
      </c>
      <c r="AO25" s="278"/>
      <c r="AP25" s="103">
        <f t="shared" si="24"/>
        <v>0.4368055555555555</v>
      </c>
      <c r="AQ25" s="132">
        <f t="shared" si="25"/>
        <v>0</v>
      </c>
      <c r="AR25" s="128">
        <f t="shared" si="56"/>
        <v>2503</v>
      </c>
      <c r="AS25" s="103">
        <f t="shared" si="26"/>
        <v>0.46577546296296291</v>
      </c>
      <c r="AT25" s="135">
        <v>0.46546296296296297</v>
      </c>
      <c r="AU25" s="133">
        <f t="shared" si="27"/>
        <v>-27</v>
      </c>
      <c r="AV25" s="135"/>
      <c r="AW25" s="270">
        <f t="shared" si="60"/>
        <v>27</v>
      </c>
      <c r="AX25" s="127"/>
      <c r="AY25" s="130">
        <v>0.4909722222222222</v>
      </c>
      <c r="AZ25" s="132">
        <f t="shared" si="28"/>
        <v>0</v>
      </c>
      <c r="BA25" s="128">
        <f t="shared" si="29"/>
        <v>409</v>
      </c>
      <c r="BB25" s="128">
        <f t="shared" si="30"/>
        <v>570</v>
      </c>
      <c r="BC25" s="103">
        <f t="shared" si="31"/>
        <v>0.4975694444444444</v>
      </c>
      <c r="BD25" s="135">
        <v>0.49682870370370374</v>
      </c>
      <c r="BE25" s="133">
        <f t="shared" si="32"/>
        <v>-64</v>
      </c>
      <c r="BF25" s="134"/>
      <c r="BG25" s="270">
        <f t="shared" si="33"/>
        <v>0</v>
      </c>
      <c r="BH25" s="127">
        <v>0.52986111111111112</v>
      </c>
      <c r="BI25" s="130">
        <v>0.53194444444444444</v>
      </c>
      <c r="BJ25" s="132">
        <f t="shared" si="34"/>
        <v>3</v>
      </c>
      <c r="BK25" s="128">
        <f t="shared" si="35"/>
        <v>455</v>
      </c>
      <c r="BL25" s="128">
        <f t="shared" si="36"/>
        <v>670</v>
      </c>
      <c r="BM25" s="103">
        <f t="shared" si="37"/>
        <v>0.53969907407407403</v>
      </c>
      <c r="BN25" s="135">
        <v>0.53848379629629628</v>
      </c>
      <c r="BO25" s="133">
        <f t="shared" si="38"/>
        <v>-105</v>
      </c>
      <c r="BP25" s="134"/>
      <c r="BQ25" s="270">
        <f t="shared" si="57"/>
        <v>0</v>
      </c>
      <c r="BR25" s="127">
        <v>0.56666666666666665</v>
      </c>
      <c r="BS25" s="130">
        <v>0.56874999999999998</v>
      </c>
      <c r="BT25" s="132">
        <f t="shared" si="39"/>
        <v>3</v>
      </c>
      <c r="BU25" s="128">
        <f t="shared" si="40"/>
        <v>1936</v>
      </c>
      <c r="BV25" s="103">
        <f t="shared" si="41"/>
        <v>0.59115740740740741</v>
      </c>
      <c r="BW25" s="135">
        <v>0.58537037037037043</v>
      </c>
      <c r="BX25" s="133">
        <f t="shared" si="42"/>
        <v>-500</v>
      </c>
      <c r="BY25" s="134"/>
      <c r="BZ25" s="270">
        <f>IF(NOT(OR(ISBLANK(#REF!),ISBLANK(BW25))),ABS(BX25)*ШтрафОпережениеОтставаниеНаРД+IF(ISBLANK(BY25),0,ШтрафФальстартНаДС),"!!!ВРУЧНУЮ!!!")</f>
        <v>500</v>
      </c>
      <c r="CA25" s="278"/>
      <c r="CB25" s="130">
        <v>0.6069444444444444</v>
      </c>
      <c r="CC25" s="132">
        <f t="shared" si="44"/>
        <v>0</v>
      </c>
      <c r="CD25" s="128">
        <f t="shared" si="45"/>
        <v>1899</v>
      </c>
      <c r="CE25" s="103">
        <f t="shared" si="46"/>
        <v>0.62892361111111106</v>
      </c>
      <c r="CF25" s="135">
        <v>0.63866898148148155</v>
      </c>
      <c r="CG25" s="133">
        <f t="shared" si="47"/>
        <v>842</v>
      </c>
      <c r="CH25" s="134"/>
      <c r="CI25" s="270">
        <f t="shared" si="59"/>
        <v>842</v>
      </c>
      <c r="CJ25" s="278"/>
      <c r="CK25" s="263">
        <f t="shared" si="49"/>
        <v>0.67638888888888893</v>
      </c>
      <c r="CL25" s="132">
        <f t="shared" si="50"/>
        <v>0</v>
      </c>
      <c r="CM25" s="131">
        <v>60</v>
      </c>
      <c r="CN25" s="440">
        <v>84.7</v>
      </c>
      <c r="CO25" s="147">
        <f t="shared" si="51"/>
        <v>24.7</v>
      </c>
      <c r="CP25" s="134"/>
      <c r="CQ25" s="134"/>
      <c r="CR25" s="134"/>
      <c r="CS25" s="134"/>
      <c r="CT25" s="270">
        <f t="shared" si="52"/>
        <v>247</v>
      </c>
      <c r="CU25" s="125" t="s">
        <v>593</v>
      </c>
      <c r="CV25" s="126" t="s">
        <v>569</v>
      </c>
      <c r="CW25" s="283">
        <v>6</v>
      </c>
      <c r="CX25" s="282">
        <f t="shared" si="53"/>
        <v>720</v>
      </c>
      <c r="CY25" s="283">
        <v>0</v>
      </c>
      <c r="CZ25" s="282">
        <f t="shared" si="54"/>
        <v>0</v>
      </c>
    </row>
    <row r="26" spans="1:104" x14ac:dyDescent="0.25">
      <c r="A26" s="427">
        <f t="shared" si="61"/>
        <v>4</v>
      </c>
      <c r="B26" s="416">
        <v>19</v>
      </c>
      <c r="C26" s="417" t="s">
        <v>127</v>
      </c>
      <c r="D26" s="417" t="s">
        <v>128</v>
      </c>
      <c r="E26" s="417" t="s">
        <v>86</v>
      </c>
      <c r="F26" s="417" t="s">
        <v>87</v>
      </c>
      <c r="G26" s="416" t="s">
        <v>30</v>
      </c>
      <c r="H26" s="418"/>
      <c r="I26" s="450">
        <f t="shared" si="55"/>
        <v>3959</v>
      </c>
      <c r="J26" s="281"/>
      <c r="K26" s="138"/>
      <c r="L26" s="264">
        <v>0.42986111111111108</v>
      </c>
      <c r="M26" s="258">
        <f t="shared" si="1"/>
        <v>105</v>
      </c>
      <c r="N26" s="279">
        <f t="shared" si="2"/>
        <v>0</v>
      </c>
      <c r="O26" s="259">
        <f t="shared" si="3"/>
        <v>0.50277777777777777</v>
      </c>
      <c r="P26" s="263">
        <f t="shared" si="4"/>
        <v>0.50277777777777777</v>
      </c>
      <c r="Q26" s="128">
        <f t="shared" si="5"/>
        <v>0</v>
      </c>
      <c r="R26" s="266">
        <f t="shared" si="6"/>
        <v>0</v>
      </c>
      <c r="S26" s="136">
        <f t="shared" si="7"/>
        <v>140</v>
      </c>
      <c r="T26" s="280">
        <f t="shared" si="8"/>
        <v>2</v>
      </c>
      <c r="U26" s="260">
        <f t="shared" si="9"/>
        <v>0.6</v>
      </c>
      <c r="V26" s="261">
        <v>0.6</v>
      </c>
      <c r="W26" s="262">
        <f t="shared" si="10"/>
        <v>0</v>
      </c>
      <c r="X26" s="267">
        <f t="shared" si="11"/>
        <v>0</v>
      </c>
      <c r="Y26" s="136">
        <f t="shared" si="12"/>
        <v>95</v>
      </c>
      <c r="Z26" s="280">
        <f t="shared" si="13"/>
        <v>0</v>
      </c>
      <c r="AA26" s="260">
        <f t="shared" si="14"/>
        <v>0.66666666666666663</v>
      </c>
      <c r="AB26" s="128">
        <f t="shared" si="15"/>
        <v>10</v>
      </c>
      <c r="AC26" s="261">
        <v>0.67152777777777783</v>
      </c>
      <c r="AD26" s="262">
        <f t="shared" si="16"/>
        <v>7</v>
      </c>
      <c r="AE26" s="266">
        <f t="shared" si="17"/>
        <v>420</v>
      </c>
      <c r="AF26" s="261"/>
      <c r="AG26" s="266">
        <f t="shared" si="18"/>
        <v>300</v>
      </c>
      <c r="AH26" s="136">
        <f t="shared" si="19"/>
        <v>0</v>
      </c>
      <c r="AI26" s="128">
        <f t="shared" si="20"/>
        <v>0</v>
      </c>
      <c r="AJ26" s="129">
        <f t="shared" si="21"/>
        <v>0.50277777777777777</v>
      </c>
      <c r="AK26" s="137">
        <v>0.52152777777777781</v>
      </c>
      <c r="AL26" s="134"/>
      <c r="AM26" s="128">
        <f t="shared" si="22"/>
        <v>27</v>
      </c>
      <c r="AN26" s="268">
        <f t="shared" si="23"/>
        <v>0</v>
      </c>
      <c r="AO26" s="278"/>
      <c r="AP26" s="103">
        <f t="shared" si="24"/>
        <v>0.42986111111111108</v>
      </c>
      <c r="AQ26" s="132">
        <f t="shared" si="25"/>
        <v>0</v>
      </c>
      <c r="AR26" s="128">
        <f t="shared" si="56"/>
        <v>2503</v>
      </c>
      <c r="AS26" s="103">
        <f t="shared" si="26"/>
        <v>0.45883101851851849</v>
      </c>
      <c r="AT26" s="717">
        <v>0.46569444444444441</v>
      </c>
      <c r="AU26" s="133">
        <f t="shared" si="27"/>
        <v>593</v>
      </c>
      <c r="AV26" s="135"/>
      <c r="AW26" s="270">
        <f t="shared" si="60"/>
        <v>593</v>
      </c>
      <c r="AX26" s="127"/>
      <c r="AY26" s="130">
        <v>0.50069444444444444</v>
      </c>
      <c r="AZ26" s="132">
        <f t="shared" si="28"/>
        <v>0</v>
      </c>
      <c r="BA26" s="128">
        <f t="shared" si="29"/>
        <v>409</v>
      </c>
      <c r="BB26" s="128">
        <f t="shared" si="30"/>
        <v>570</v>
      </c>
      <c r="BC26" s="103">
        <f t="shared" si="31"/>
        <v>0.5072916666666667</v>
      </c>
      <c r="BD26" s="135">
        <v>0.50715277777777779</v>
      </c>
      <c r="BE26" s="133">
        <f t="shared" si="32"/>
        <v>-12</v>
      </c>
      <c r="BF26" s="134"/>
      <c r="BG26" s="270">
        <f t="shared" si="33"/>
        <v>0</v>
      </c>
      <c r="BH26" s="127">
        <v>0.53749999999999998</v>
      </c>
      <c r="BI26" s="130">
        <v>0.53888888888888886</v>
      </c>
      <c r="BJ26" s="132">
        <f t="shared" si="34"/>
        <v>2</v>
      </c>
      <c r="BK26" s="128">
        <f t="shared" si="35"/>
        <v>455</v>
      </c>
      <c r="BL26" s="128">
        <f t="shared" si="36"/>
        <v>670</v>
      </c>
      <c r="BM26" s="103">
        <f t="shared" si="37"/>
        <v>0.54664351851851845</v>
      </c>
      <c r="BN26" s="135">
        <v>0.54655092592592591</v>
      </c>
      <c r="BO26" s="133">
        <f t="shared" si="38"/>
        <v>-8</v>
      </c>
      <c r="BP26" s="134"/>
      <c r="BQ26" s="270">
        <f t="shared" si="57"/>
        <v>0</v>
      </c>
      <c r="BR26" s="127"/>
      <c r="BS26" s="130">
        <v>0.56736111111111109</v>
      </c>
      <c r="BT26" s="132">
        <f t="shared" si="39"/>
        <v>0</v>
      </c>
      <c r="BU26" s="128">
        <f t="shared" si="40"/>
        <v>1936</v>
      </c>
      <c r="BV26" s="103">
        <f t="shared" si="41"/>
        <v>0.58976851851851853</v>
      </c>
      <c r="BW26" s="135">
        <v>0.58261574074074074</v>
      </c>
      <c r="BX26" s="133">
        <f t="shared" si="42"/>
        <v>-618</v>
      </c>
      <c r="BY26" s="134"/>
      <c r="BZ26" s="270">
        <f>IF(NOT(OR(ISBLANK(BS26),ISBLANK(BW26))),ABS(BX26)*ШтрафОпережениеОтставаниеНаРД+IF(ISBLANK(BY26),0,ШтрафФальстартНаДС),"!!!ВРУЧНУЮ!!!")</f>
        <v>618</v>
      </c>
      <c r="CA26" s="278"/>
      <c r="CB26" s="130">
        <v>0.60069444444444442</v>
      </c>
      <c r="CC26" s="132">
        <f t="shared" si="44"/>
        <v>0</v>
      </c>
      <c r="CD26" s="128">
        <f t="shared" si="45"/>
        <v>1899</v>
      </c>
      <c r="CE26" s="103">
        <f t="shared" si="46"/>
        <v>0.62267361111111108</v>
      </c>
      <c r="CF26" s="135">
        <v>0.62988425925925928</v>
      </c>
      <c r="CG26" s="133">
        <f t="shared" si="47"/>
        <v>623</v>
      </c>
      <c r="CH26" s="134"/>
      <c r="CI26" s="270">
        <f t="shared" si="59"/>
        <v>623</v>
      </c>
      <c r="CJ26" s="278"/>
      <c r="CK26" s="263">
        <f t="shared" si="49"/>
        <v>0.67152777777777783</v>
      </c>
      <c r="CL26" s="132">
        <f t="shared" si="50"/>
        <v>0</v>
      </c>
      <c r="CM26" s="131">
        <v>60</v>
      </c>
      <c r="CN26" s="440">
        <v>92.51</v>
      </c>
      <c r="CO26" s="147">
        <f t="shared" si="51"/>
        <v>32.5</v>
      </c>
      <c r="CP26" s="134"/>
      <c r="CQ26" s="134"/>
      <c r="CR26" s="134"/>
      <c r="CS26" s="134"/>
      <c r="CT26" s="270">
        <f t="shared" si="52"/>
        <v>325</v>
      </c>
      <c r="CU26" s="125" t="s">
        <v>586</v>
      </c>
      <c r="CV26" s="126" t="s">
        <v>569</v>
      </c>
      <c r="CW26" s="283">
        <v>9</v>
      </c>
      <c r="CX26" s="282">
        <f t="shared" si="53"/>
        <v>1080</v>
      </c>
      <c r="CY26" s="283">
        <v>0</v>
      </c>
      <c r="CZ26" s="282">
        <f t="shared" si="54"/>
        <v>0</v>
      </c>
    </row>
    <row r="27" spans="1:104" x14ac:dyDescent="0.25">
      <c r="A27" s="427">
        <f t="shared" si="61"/>
        <v>5</v>
      </c>
      <c r="B27" s="416">
        <v>27</v>
      </c>
      <c r="C27" s="417" t="s">
        <v>517</v>
      </c>
      <c r="D27" s="417" t="s">
        <v>518</v>
      </c>
      <c r="E27" s="417" t="s">
        <v>520</v>
      </c>
      <c r="F27" s="417" t="s">
        <v>521</v>
      </c>
      <c r="G27" s="416" t="s">
        <v>30</v>
      </c>
      <c r="H27" s="418"/>
      <c r="I27" s="450">
        <f t="shared" si="55"/>
        <v>4256</v>
      </c>
      <c r="J27" s="281"/>
      <c r="K27" s="138"/>
      <c r="L27" s="264">
        <v>0.43541666666666662</v>
      </c>
      <c r="M27" s="258">
        <f t="shared" si="1"/>
        <v>105</v>
      </c>
      <c r="N27" s="279">
        <f t="shared" si="2"/>
        <v>0</v>
      </c>
      <c r="O27" s="259">
        <f t="shared" si="3"/>
        <v>0.5083333333333333</v>
      </c>
      <c r="P27" s="263">
        <f t="shared" si="4"/>
        <v>0.5083333333333333</v>
      </c>
      <c r="Q27" s="128">
        <f t="shared" si="5"/>
        <v>0</v>
      </c>
      <c r="R27" s="266">
        <f t="shared" si="6"/>
        <v>0</v>
      </c>
      <c r="S27" s="136">
        <f t="shared" si="7"/>
        <v>140</v>
      </c>
      <c r="T27" s="280">
        <f t="shared" si="8"/>
        <v>6</v>
      </c>
      <c r="U27" s="260">
        <f t="shared" si="9"/>
        <v>0.60555555555555551</v>
      </c>
      <c r="V27" s="261">
        <v>0.60972222222222217</v>
      </c>
      <c r="W27" s="262">
        <f t="shared" si="10"/>
        <v>6</v>
      </c>
      <c r="X27" s="267">
        <f t="shared" si="11"/>
        <v>0</v>
      </c>
      <c r="Y27" s="136">
        <f t="shared" si="12"/>
        <v>95</v>
      </c>
      <c r="Z27" s="280">
        <f t="shared" si="13"/>
        <v>0</v>
      </c>
      <c r="AA27" s="260">
        <f t="shared" si="14"/>
        <v>0.67708333333333326</v>
      </c>
      <c r="AB27" s="128">
        <f t="shared" si="15"/>
        <v>10</v>
      </c>
      <c r="AC27" s="261">
        <v>0.69444444444444453</v>
      </c>
      <c r="AD27" s="262">
        <f t="shared" si="16"/>
        <v>25</v>
      </c>
      <c r="AE27" s="266">
        <f t="shared" si="17"/>
        <v>1500</v>
      </c>
      <c r="AF27" s="261" t="s">
        <v>430</v>
      </c>
      <c r="AG27" s="266">
        <f t="shared" si="18"/>
        <v>0</v>
      </c>
      <c r="AH27" s="136">
        <f t="shared" si="19"/>
        <v>0</v>
      </c>
      <c r="AI27" s="128">
        <f t="shared" si="20"/>
        <v>0</v>
      </c>
      <c r="AJ27" s="129">
        <f t="shared" si="21"/>
        <v>0.5083333333333333</v>
      </c>
      <c r="AK27" s="137">
        <v>0.50902777777777775</v>
      </c>
      <c r="AL27" s="134"/>
      <c r="AM27" s="128">
        <f t="shared" si="22"/>
        <v>1</v>
      </c>
      <c r="AN27" s="268">
        <f t="shared" si="23"/>
        <v>0</v>
      </c>
      <c r="AO27" s="278"/>
      <c r="AP27" s="103">
        <f t="shared" si="24"/>
        <v>0.43541666666666662</v>
      </c>
      <c r="AQ27" s="132">
        <f t="shared" si="25"/>
        <v>0</v>
      </c>
      <c r="AR27" s="128">
        <f t="shared" si="56"/>
        <v>2503</v>
      </c>
      <c r="AS27" s="103">
        <f t="shared" si="26"/>
        <v>0.46438657407407402</v>
      </c>
      <c r="AT27" s="135">
        <v>0.46537037037037038</v>
      </c>
      <c r="AU27" s="133">
        <f t="shared" si="27"/>
        <v>85</v>
      </c>
      <c r="AV27" s="135"/>
      <c r="AW27" s="270">
        <f t="shared" si="60"/>
        <v>85</v>
      </c>
      <c r="AX27" s="127"/>
      <c r="AY27" s="130">
        <v>0.49305555555555558</v>
      </c>
      <c r="AZ27" s="132">
        <f t="shared" si="28"/>
        <v>0</v>
      </c>
      <c r="BA27" s="128">
        <f t="shared" si="29"/>
        <v>409</v>
      </c>
      <c r="BB27" s="128">
        <f t="shared" si="30"/>
        <v>570</v>
      </c>
      <c r="BC27" s="103">
        <f t="shared" si="31"/>
        <v>0.49965277777777778</v>
      </c>
      <c r="BD27" s="135">
        <v>0.49895833333333334</v>
      </c>
      <c r="BE27" s="133">
        <f t="shared" si="32"/>
        <v>-60</v>
      </c>
      <c r="BF27" s="134"/>
      <c r="BG27" s="270">
        <f t="shared" si="33"/>
        <v>0</v>
      </c>
      <c r="BH27" s="127">
        <v>0.52916666666666667</v>
      </c>
      <c r="BI27" s="130">
        <v>0.53055555555555556</v>
      </c>
      <c r="BJ27" s="132">
        <f t="shared" si="34"/>
        <v>2</v>
      </c>
      <c r="BK27" s="128">
        <f t="shared" si="35"/>
        <v>455</v>
      </c>
      <c r="BL27" s="128">
        <f t="shared" si="36"/>
        <v>670</v>
      </c>
      <c r="BM27" s="103">
        <f t="shared" si="37"/>
        <v>0.53831018518518514</v>
      </c>
      <c r="BN27" s="135">
        <v>0.53721064814814812</v>
      </c>
      <c r="BO27" s="133">
        <f t="shared" si="38"/>
        <v>-95</v>
      </c>
      <c r="BP27" s="134"/>
      <c r="BQ27" s="270">
        <f t="shared" si="57"/>
        <v>0</v>
      </c>
      <c r="BR27" s="127">
        <v>0.56736111111111109</v>
      </c>
      <c r="BS27" s="130">
        <v>0.57013888888888886</v>
      </c>
      <c r="BT27" s="132">
        <f t="shared" si="39"/>
        <v>4</v>
      </c>
      <c r="BU27" s="128">
        <f t="shared" si="40"/>
        <v>1936</v>
      </c>
      <c r="BV27" s="103">
        <f t="shared" si="41"/>
        <v>0.59254629629629629</v>
      </c>
      <c r="BW27" s="135">
        <v>0.59499999999999997</v>
      </c>
      <c r="BX27" s="133">
        <f t="shared" si="42"/>
        <v>212</v>
      </c>
      <c r="BY27" s="134"/>
      <c r="BZ27" s="270">
        <f>IF(NOT(OR(ISBLANK(BS27),ISBLANK(BW27))),ABS(BX27)*ШтрафОпережениеОтставаниеНаРД+IF(ISBLANK(BY27),0,ШтрафФальстартНаДС),"!!!ВРУЧНУЮ!!!")</f>
        <v>212</v>
      </c>
      <c r="CA27" s="278"/>
      <c r="CB27" s="130">
        <v>0.61111111111111105</v>
      </c>
      <c r="CC27" s="132">
        <f t="shared" si="44"/>
        <v>0</v>
      </c>
      <c r="CD27" s="128">
        <f t="shared" si="45"/>
        <v>1899</v>
      </c>
      <c r="CE27" s="103">
        <f t="shared" si="46"/>
        <v>0.63309027777777771</v>
      </c>
      <c r="CF27" s="135">
        <v>0.63918981481481485</v>
      </c>
      <c r="CG27" s="133">
        <f t="shared" si="47"/>
        <v>527</v>
      </c>
      <c r="CH27" s="134"/>
      <c r="CI27" s="270">
        <f t="shared" si="59"/>
        <v>527</v>
      </c>
      <c r="CJ27" s="278"/>
      <c r="CK27" s="263">
        <f t="shared" si="49"/>
        <v>0.69444444444444453</v>
      </c>
      <c r="CL27" s="132">
        <f t="shared" si="50"/>
        <v>0</v>
      </c>
      <c r="CM27" s="131">
        <v>60</v>
      </c>
      <c r="CN27" s="440">
        <v>181.16</v>
      </c>
      <c r="CO27" s="147">
        <f t="shared" si="51"/>
        <v>121.2</v>
      </c>
      <c r="CP27" s="134"/>
      <c r="CQ27" s="134"/>
      <c r="CR27" s="134"/>
      <c r="CS27" s="134"/>
      <c r="CT27" s="270">
        <f t="shared" si="52"/>
        <v>1212</v>
      </c>
      <c r="CU27" s="125" t="s">
        <v>591</v>
      </c>
      <c r="CV27" s="126" t="s">
        <v>569</v>
      </c>
      <c r="CW27" s="283">
        <v>6</v>
      </c>
      <c r="CX27" s="282">
        <f t="shared" si="53"/>
        <v>720</v>
      </c>
      <c r="CY27" s="283">
        <v>0</v>
      </c>
      <c r="CZ27" s="282">
        <f t="shared" si="54"/>
        <v>0</v>
      </c>
    </row>
    <row r="28" spans="1:104" x14ac:dyDescent="0.25">
      <c r="A28" s="427">
        <f t="shared" si="61"/>
        <v>7</v>
      </c>
      <c r="B28" s="416">
        <v>30</v>
      </c>
      <c r="C28" s="417" t="s">
        <v>530</v>
      </c>
      <c r="D28" s="417" t="s">
        <v>531</v>
      </c>
      <c r="E28" s="417" t="s">
        <v>533</v>
      </c>
      <c r="F28" s="417" t="s">
        <v>83</v>
      </c>
      <c r="G28" s="416" t="s">
        <v>30</v>
      </c>
      <c r="H28" s="418"/>
      <c r="I28" s="450">
        <f t="shared" si="55"/>
        <v>5126</v>
      </c>
      <c r="J28" s="281"/>
      <c r="K28" s="138"/>
      <c r="L28" s="264">
        <v>0.4375</v>
      </c>
      <c r="M28" s="258">
        <f t="shared" si="1"/>
        <v>105</v>
      </c>
      <c r="N28" s="279">
        <f t="shared" si="2"/>
        <v>0</v>
      </c>
      <c r="O28" s="259">
        <f t="shared" si="3"/>
        <v>0.51041666666666663</v>
      </c>
      <c r="P28" s="263">
        <f t="shared" si="4"/>
        <v>0.51041666666666663</v>
      </c>
      <c r="Q28" s="128">
        <f t="shared" si="5"/>
        <v>0</v>
      </c>
      <c r="R28" s="266">
        <f t="shared" si="6"/>
        <v>0</v>
      </c>
      <c r="S28" s="136">
        <f t="shared" si="7"/>
        <v>140</v>
      </c>
      <c r="T28" s="280">
        <f t="shared" si="8"/>
        <v>3</v>
      </c>
      <c r="U28" s="260">
        <f t="shared" si="9"/>
        <v>0.60763888888888884</v>
      </c>
      <c r="V28" s="261">
        <v>0.61944444444444446</v>
      </c>
      <c r="W28" s="262">
        <f t="shared" si="10"/>
        <v>17</v>
      </c>
      <c r="X28" s="267">
        <f t="shared" si="11"/>
        <v>840</v>
      </c>
      <c r="Y28" s="136">
        <f t="shared" si="12"/>
        <v>95</v>
      </c>
      <c r="Z28" s="280">
        <f t="shared" si="13"/>
        <v>0</v>
      </c>
      <c r="AA28" s="260">
        <f t="shared" si="14"/>
        <v>0.68680555555555556</v>
      </c>
      <c r="AB28" s="128">
        <f t="shared" si="15"/>
        <v>10</v>
      </c>
      <c r="AC28" s="261">
        <v>0.69513888888888886</v>
      </c>
      <c r="AD28" s="262">
        <f t="shared" si="16"/>
        <v>12</v>
      </c>
      <c r="AE28" s="266">
        <f t="shared" si="17"/>
        <v>720</v>
      </c>
      <c r="AF28" s="261" t="s">
        <v>430</v>
      </c>
      <c r="AG28" s="266">
        <f t="shared" si="18"/>
        <v>0</v>
      </c>
      <c r="AH28" s="136">
        <f t="shared" si="19"/>
        <v>0</v>
      </c>
      <c r="AI28" s="128">
        <f t="shared" si="20"/>
        <v>0</v>
      </c>
      <c r="AJ28" s="129">
        <f t="shared" si="21"/>
        <v>0.51041666666666663</v>
      </c>
      <c r="AK28" s="137">
        <v>0.51041666666666663</v>
      </c>
      <c r="AL28" s="134"/>
      <c r="AM28" s="128">
        <f t="shared" si="22"/>
        <v>0</v>
      </c>
      <c r="AN28" s="268">
        <f t="shared" si="23"/>
        <v>0</v>
      </c>
      <c r="AO28" s="278"/>
      <c r="AP28" s="103">
        <f t="shared" si="24"/>
        <v>0.4375</v>
      </c>
      <c r="AQ28" s="132">
        <f t="shared" si="25"/>
        <v>0</v>
      </c>
      <c r="AR28" s="128">
        <f t="shared" si="56"/>
        <v>2503</v>
      </c>
      <c r="AS28" s="103">
        <f t="shared" si="26"/>
        <v>0.4664699074074074</v>
      </c>
      <c r="AT28" s="135">
        <v>0.47673611111111108</v>
      </c>
      <c r="AU28" s="133">
        <f t="shared" si="27"/>
        <v>887</v>
      </c>
      <c r="AV28" s="135"/>
      <c r="AW28" s="270">
        <f t="shared" si="60"/>
        <v>887</v>
      </c>
      <c r="AX28" s="127"/>
      <c r="AY28" s="130">
        <v>0.4993055555555555</v>
      </c>
      <c r="AZ28" s="132">
        <f t="shared" si="28"/>
        <v>0</v>
      </c>
      <c r="BA28" s="128">
        <f t="shared" si="29"/>
        <v>409</v>
      </c>
      <c r="BB28" s="128">
        <f t="shared" si="30"/>
        <v>570</v>
      </c>
      <c r="BC28" s="103">
        <f t="shared" si="31"/>
        <v>0.5059027777777777</v>
      </c>
      <c r="BD28" s="135">
        <v>0.50535879629629632</v>
      </c>
      <c r="BE28" s="133">
        <f t="shared" si="32"/>
        <v>-47</v>
      </c>
      <c r="BF28" s="134"/>
      <c r="BG28" s="270">
        <f t="shared" si="33"/>
        <v>0</v>
      </c>
      <c r="BH28" s="127">
        <v>0.54305555555555551</v>
      </c>
      <c r="BI28" s="446">
        <v>0.54375000000000007</v>
      </c>
      <c r="BJ28" s="132">
        <f t="shared" si="34"/>
        <v>1</v>
      </c>
      <c r="BK28" s="128">
        <f t="shared" si="35"/>
        <v>455</v>
      </c>
      <c r="BL28" s="128">
        <f t="shared" si="36"/>
        <v>670</v>
      </c>
      <c r="BM28" s="103">
        <f t="shared" si="37"/>
        <v>0.55150462962962965</v>
      </c>
      <c r="BN28" s="135">
        <v>0.55127314814814821</v>
      </c>
      <c r="BO28" s="133">
        <f t="shared" si="38"/>
        <v>-20</v>
      </c>
      <c r="BP28" s="134"/>
      <c r="BQ28" s="270">
        <f t="shared" si="57"/>
        <v>0</v>
      </c>
      <c r="BR28" s="446">
        <v>0.57430555555555551</v>
      </c>
      <c r="BS28" s="448">
        <v>0.5756944444444444</v>
      </c>
      <c r="BT28" s="132">
        <f t="shared" si="39"/>
        <v>2</v>
      </c>
      <c r="BU28" s="128">
        <f t="shared" si="40"/>
        <v>1936</v>
      </c>
      <c r="BV28" s="103">
        <f t="shared" si="41"/>
        <v>0.59810185185185183</v>
      </c>
      <c r="BW28" s="135">
        <v>0.60039351851851852</v>
      </c>
      <c r="BX28" s="133">
        <f t="shared" si="42"/>
        <v>198</v>
      </c>
      <c r="BY28" s="134"/>
      <c r="BZ28" s="270">
        <f>IF(NOT(OR(ISBLANK(BS27),ISBLANK(BW28))),ABS(BX28)*ШтрафОпережениеОтставаниеНаРД+IF(ISBLANK(BY28),0,ШтрафФальстартНаДС),"!!!ВРУЧНУЮ!!!")</f>
        <v>198</v>
      </c>
      <c r="CA28" s="278"/>
      <c r="CB28" s="130">
        <v>0.62083333333333335</v>
      </c>
      <c r="CC28" s="132">
        <f t="shared" si="44"/>
        <v>0</v>
      </c>
      <c r="CD28" s="128">
        <f t="shared" si="45"/>
        <v>1899</v>
      </c>
      <c r="CE28" s="103">
        <f t="shared" si="46"/>
        <v>0.64281250000000001</v>
      </c>
      <c r="CF28" s="135">
        <v>0.64634259259259264</v>
      </c>
      <c r="CG28" s="133">
        <f t="shared" si="47"/>
        <v>305</v>
      </c>
      <c r="CH28" s="134"/>
      <c r="CI28" s="270">
        <f t="shared" si="59"/>
        <v>305</v>
      </c>
      <c r="CJ28" s="278"/>
      <c r="CK28" s="263">
        <f t="shared" si="49"/>
        <v>0.69513888888888886</v>
      </c>
      <c r="CL28" s="132">
        <f t="shared" si="50"/>
        <v>0</v>
      </c>
      <c r="CM28" s="131">
        <v>60</v>
      </c>
      <c r="CN28" s="440">
        <v>125.57</v>
      </c>
      <c r="CO28" s="147">
        <f t="shared" si="51"/>
        <v>65.599999999999994</v>
      </c>
      <c r="CP28" s="134"/>
      <c r="CQ28" s="134"/>
      <c r="CR28" s="134"/>
      <c r="CS28" s="134">
        <v>1</v>
      </c>
      <c r="CT28" s="270">
        <f t="shared" si="52"/>
        <v>856</v>
      </c>
      <c r="CU28" s="125" t="s">
        <v>594</v>
      </c>
      <c r="CV28" s="126" t="s">
        <v>569</v>
      </c>
      <c r="CW28" s="283">
        <v>11</v>
      </c>
      <c r="CX28" s="282">
        <f t="shared" si="53"/>
        <v>1320</v>
      </c>
      <c r="CY28" s="283">
        <v>0</v>
      </c>
      <c r="CZ28" s="282">
        <f t="shared" si="54"/>
        <v>0</v>
      </c>
    </row>
    <row r="29" spans="1:104" x14ac:dyDescent="0.25">
      <c r="A29" s="427">
        <f t="shared" si="61"/>
        <v>6</v>
      </c>
      <c r="B29" s="416">
        <v>22</v>
      </c>
      <c r="C29" s="417" t="s">
        <v>161</v>
      </c>
      <c r="D29" s="417" t="s">
        <v>500</v>
      </c>
      <c r="E29" s="417" t="s">
        <v>162</v>
      </c>
      <c r="F29" s="417" t="s">
        <v>163</v>
      </c>
      <c r="G29" s="416" t="s">
        <v>30</v>
      </c>
      <c r="H29" s="418"/>
      <c r="I29" s="450">
        <f t="shared" si="55"/>
        <v>5114</v>
      </c>
      <c r="J29" s="281"/>
      <c r="K29" s="138"/>
      <c r="L29" s="264">
        <v>0.43194444444444446</v>
      </c>
      <c r="M29" s="258">
        <f t="shared" si="1"/>
        <v>105</v>
      </c>
      <c r="N29" s="279">
        <f t="shared" si="2"/>
        <v>0</v>
      </c>
      <c r="O29" s="259">
        <f t="shared" si="3"/>
        <v>0.50486111111111109</v>
      </c>
      <c r="P29" s="263">
        <f t="shared" si="4"/>
        <v>0.50486111111111109</v>
      </c>
      <c r="Q29" s="128">
        <f t="shared" si="5"/>
        <v>0</v>
      </c>
      <c r="R29" s="266">
        <f t="shared" si="6"/>
        <v>0</v>
      </c>
      <c r="S29" s="136">
        <f t="shared" si="7"/>
        <v>140</v>
      </c>
      <c r="T29" s="280">
        <f t="shared" si="8"/>
        <v>5</v>
      </c>
      <c r="U29" s="260">
        <f t="shared" si="9"/>
        <v>0.6020833333333333</v>
      </c>
      <c r="V29" s="261">
        <v>0.60763888888888895</v>
      </c>
      <c r="W29" s="262">
        <f t="shared" si="10"/>
        <v>8</v>
      </c>
      <c r="X29" s="267">
        <f t="shared" si="11"/>
        <v>180</v>
      </c>
      <c r="Y29" s="136">
        <f t="shared" si="12"/>
        <v>95</v>
      </c>
      <c r="Z29" s="280">
        <f t="shared" si="13"/>
        <v>0</v>
      </c>
      <c r="AA29" s="260">
        <f t="shared" si="14"/>
        <v>0.67500000000000004</v>
      </c>
      <c r="AB29" s="128">
        <f t="shared" si="15"/>
        <v>10</v>
      </c>
      <c r="AC29" s="261">
        <v>0.67222222222222217</v>
      </c>
      <c r="AD29" s="262">
        <f t="shared" si="16"/>
        <v>-4</v>
      </c>
      <c r="AE29" s="266">
        <f t="shared" si="17"/>
        <v>0</v>
      </c>
      <c r="AF29" s="261" t="s">
        <v>430</v>
      </c>
      <c r="AG29" s="266">
        <f t="shared" si="18"/>
        <v>0</v>
      </c>
      <c r="AH29" s="136">
        <f t="shared" si="19"/>
        <v>0</v>
      </c>
      <c r="AI29" s="128">
        <f t="shared" si="20"/>
        <v>0</v>
      </c>
      <c r="AJ29" s="129">
        <f t="shared" si="21"/>
        <v>0.50486111111111109</v>
      </c>
      <c r="AK29" s="137">
        <v>0.51111111111111118</v>
      </c>
      <c r="AL29" s="134"/>
      <c r="AM29" s="128">
        <f t="shared" si="22"/>
        <v>9</v>
      </c>
      <c r="AN29" s="268">
        <f t="shared" si="23"/>
        <v>0</v>
      </c>
      <c r="AO29" s="278"/>
      <c r="AP29" s="103">
        <f t="shared" si="24"/>
        <v>0.43194444444444446</v>
      </c>
      <c r="AQ29" s="132">
        <f t="shared" si="25"/>
        <v>0</v>
      </c>
      <c r="AR29" s="128">
        <f t="shared" si="56"/>
        <v>2503</v>
      </c>
      <c r="AS29" s="103">
        <f t="shared" si="26"/>
        <v>0.46091435185185187</v>
      </c>
      <c r="AT29" s="135">
        <v>0.47984953703703703</v>
      </c>
      <c r="AU29" s="133">
        <f t="shared" si="27"/>
        <v>1636</v>
      </c>
      <c r="AV29" s="135"/>
      <c r="AW29" s="270">
        <f t="shared" ref="AW29:AW33" si="62">IF(NOT(OR(ISBLANK(AP29),ISBLANK(AT29))),ABS(AU29)*ШтрафОпережениеОтставаниеНаРД+IF(ISBLANK(AV29),0,ШтрафФальстартНаДС),"!!!ВРУЧНУЮ!!!")</f>
        <v>1636</v>
      </c>
      <c r="AX29" s="127"/>
      <c r="AY29" s="130">
        <v>0.49861111111111112</v>
      </c>
      <c r="AZ29" s="132">
        <f t="shared" si="28"/>
        <v>0</v>
      </c>
      <c r="BA29" s="128">
        <f t="shared" si="29"/>
        <v>409</v>
      </c>
      <c r="BB29" s="128">
        <f t="shared" si="30"/>
        <v>570</v>
      </c>
      <c r="BC29" s="103">
        <f t="shared" si="31"/>
        <v>0.50520833333333337</v>
      </c>
      <c r="BD29" s="135">
        <v>0.50516203703703699</v>
      </c>
      <c r="BE29" s="133">
        <f t="shared" si="32"/>
        <v>-4</v>
      </c>
      <c r="BF29" s="134"/>
      <c r="BG29" s="270">
        <f t="shared" si="33"/>
        <v>0</v>
      </c>
      <c r="BH29" s="127">
        <v>0.53333333333333333</v>
      </c>
      <c r="BI29" s="130">
        <v>0.53402777777777777</v>
      </c>
      <c r="BJ29" s="132">
        <f t="shared" si="34"/>
        <v>1</v>
      </c>
      <c r="BK29" s="128">
        <f t="shared" si="35"/>
        <v>455</v>
      </c>
      <c r="BL29" s="128">
        <f t="shared" si="36"/>
        <v>670</v>
      </c>
      <c r="BM29" s="103">
        <f t="shared" si="37"/>
        <v>0.54178240740740735</v>
      </c>
      <c r="BN29" s="135">
        <v>0.54178240740740746</v>
      </c>
      <c r="BO29" s="133">
        <f t="shared" si="38"/>
        <v>0</v>
      </c>
      <c r="BP29" s="134"/>
      <c r="BQ29" s="270">
        <f t="shared" si="57"/>
        <v>0</v>
      </c>
      <c r="BR29" s="127">
        <v>0.57361111111111118</v>
      </c>
      <c r="BS29" s="130">
        <v>0.57638888888888895</v>
      </c>
      <c r="BT29" s="132">
        <f t="shared" si="39"/>
        <v>4</v>
      </c>
      <c r="BU29" s="128">
        <f t="shared" si="40"/>
        <v>1936</v>
      </c>
      <c r="BV29" s="103">
        <f t="shared" si="41"/>
        <v>0.59879629629629638</v>
      </c>
      <c r="BW29" s="135">
        <v>0.59214120370370371</v>
      </c>
      <c r="BX29" s="133">
        <f t="shared" si="42"/>
        <v>-575</v>
      </c>
      <c r="BY29" s="134"/>
      <c r="BZ29" s="270">
        <f t="shared" ref="BZ29:BZ34" si="63">IF(NOT(OR(ISBLANK(BS29),ISBLANK(BW29))),ABS(BX29)*ШтрафОпережениеОтставаниеНаРД+IF(ISBLANK(BY29),0,ШтрафФальстартНаДС),"!!!ВРУЧНУЮ!!!")</f>
        <v>575</v>
      </c>
      <c r="CA29" s="278"/>
      <c r="CB29" s="130">
        <v>0.60902777777777783</v>
      </c>
      <c r="CC29" s="132">
        <f t="shared" si="44"/>
        <v>0</v>
      </c>
      <c r="CD29" s="128">
        <f t="shared" si="45"/>
        <v>1899</v>
      </c>
      <c r="CE29" s="103">
        <f t="shared" si="46"/>
        <v>0.6310069444444445</v>
      </c>
      <c r="CF29" s="135">
        <v>0.64043981481481482</v>
      </c>
      <c r="CG29" s="133">
        <f t="shared" si="47"/>
        <v>815</v>
      </c>
      <c r="CH29" s="134"/>
      <c r="CI29" s="270">
        <f t="shared" si="59"/>
        <v>815</v>
      </c>
      <c r="CJ29" s="278"/>
      <c r="CK29" s="263">
        <f t="shared" si="49"/>
        <v>0.67222222222222217</v>
      </c>
      <c r="CL29" s="132">
        <f t="shared" si="50"/>
        <v>0</v>
      </c>
      <c r="CM29" s="131">
        <v>60</v>
      </c>
      <c r="CN29" s="440">
        <v>94.8</v>
      </c>
      <c r="CO29" s="147">
        <f t="shared" si="51"/>
        <v>34.799999999999997</v>
      </c>
      <c r="CP29" s="134"/>
      <c r="CQ29" s="134"/>
      <c r="CR29" s="134"/>
      <c r="CS29" s="134"/>
      <c r="CT29" s="270">
        <f t="shared" si="52"/>
        <v>348</v>
      </c>
      <c r="CU29" s="125" t="s">
        <v>587</v>
      </c>
      <c r="CV29" s="126" t="s">
        <v>569</v>
      </c>
      <c r="CW29" s="283">
        <v>13</v>
      </c>
      <c r="CX29" s="282">
        <f t="shared" si="53"/>
        <v>1560</v>
      </c>
      <c r="CY29" s="283">
        <v>0</v>
      </c>
      <c r="CZ29" s="282">
        <f t="shared" si="54"/>
        <v>0</v>
      </c>
    </row>
    <row r="30" spans="1:104" x14ac:dyDescent="0.25">
      <c r="A30" s="427">
        <f t="shared" si="61"/>
        <v>8</v>
      </c>
      <c r="B30" s="416">
        <v>25</v>
      </c>
      <c r="C30" s="417" t="s">
        <v>510</v>
      </c>
      <c r="D30" s="417" t="s">
        <v>511</v>
      </c>
      <c r="E30" s="417" t="s">
        <v>512</v>
      </c>
      <c r="F30" s="417" t="s">
        <v>513</v>
      </c>
      <c r="G30" s="416" t="s">
        <v>30</v>
      </c>
      <c r="H30" s="418"/>
      <c r="I30" s="450">
        <f t="shared" si="55"/>
        <v>5947</v>
      </c>
      <c r="J30" s="281"/>
      <c r="K30" s="138"/>
      <c r="L30" s="264">
        <v>0.43402777777777773</v>
      </c>
      <c r="M30" s="258">
        <f t="shared" si="1"/>
        <v>105</v>
      </c>
      <c r="N30" s="279">
        <f t="shared" si="2"/>
        <v>0</v>
      </c>
      <c r="O30" s="259">
        <f t="shared" si="3"/>
        <v>0.50694444444444442</v>
      </c>
      <c r="P30" s="263">
        <f t="shared" si="4"/>
        <v>0.50694444444444442</v>
      </c>
      <c r="Q30" s="128">
        <f t="shared" si="5"/>
        <v>0</v>
      </c>
      <c r="R30" s="266">
        <f t="shared" si="6"/>
        <v>0</v>
      </c>
      <c r="S30" s="136">
        <f t="shared" si="7"/>
        <v>140</v>
      </c>
      <c r="T30" s="280">
        <f t="shared" si="8"/>
        <v>1</v>
      </c>
      <c r="U30" s="260">
        <f t="shared" si="9"/>
        <v>0.60416666666666663</v>
      </c>
      <c r="V30" s="261">
        <v>0.60416666666666663</v>
      </c>
      <c r="W30" s="262">
        <f t="shared" si="10"/>
        <v>0</v>
      </c>
      <c r="X30" s="267">
        <f t="shared" si="11"/>
        <v>0</v>
      </c>
      <c r="Y30" s="136">
        <f t="shared" si="12"/>
        <v>95</v>
      </c>
      <c r="Z30" s="280">
        <f t="shared" si="13"/>
        <v>0</v>
      </c>
      <c r="AA30" s="260">
        <f t="shared" si="14"/>
        <v>0.67152777777777772</v>
      </c>
      <c r="AB30" s="128">
        <f t="shared" si="15"/>
        <v>10</v>
      </c>
      <c r="AC30" s="261">
        <v>0.69027777777777777</v>
      </c>
      <c r="AD30" s="262">
        <f t="shared" si="16"/>
        <v>27</v>
      </c>
      <c r="AE30" s="266">
        <f t="shared" si="17"/>
        <v>1620</v>
      </c>
      <c r="AF30" s="261" t="s">
        <v>430</v>
      </c>
      <c r="AG30" s="266">
        <f t="shared" si="18"/>
        <v>0</v>
      </c>
      <c r="AH30" s="136">
        <f t="shared" si="19"/>
        <v>0</v>
      </c>
      <c r="AI30" s="128">
        <f t="shared" si="20"/>
        <v>0</v>
      </c>
      <c r="AJ30" s="129">
        <f t="shared" si="21"/>
        <v>0.50694444444444442</v>
      </c>
      <c r="AK30" s="137">
        <v>0.50763888888888886</v>
      </c>
      <c r="AL30" s="134"/>
      <c r="AM30" s="128">
        <f t="shared" si="22"/>
        <v>1</v>
      </c>
      <c r="AN30" s="268">
        <f t="shared" si="23"/>
        <v>0</v>
      </c>
      <c r="AO30" s="278"/>
      <c r="AP30" s="103">
        <f t="shared" si="24"/>
        <v>0.43402777777777773</v>
      </c>
      <c r="AQ30" s="132">
        <f t="shared" si="25"/>
        <v>0</v>
      </c>
      <c r="AR30" s="128">
        <f t="shared" si="56"/>
        <v>2503</v>
      </c>
      <c r="AS30" s="103">
        <f t="shared" si="26"/>
        <v>0.46299768518518514</v>
      </c>
      <c r="AT30" s="135">
        <v>0.4722453703703704</v>
      </c>
      <c r="AU30" s="133">
        <f t="shared" si="27"/>
        <v>799</v>
      </c>
      <c r="AV30" s="135"/>
      <c r="AW30" s="270">
        <f t="shared" si="62"/>
        <v>799</v>
      </c>
      <c r="AX30" s="127"/>
      <c r="AY30" s="130">
        <v>0.4909722222222222</v>
      </c>
      <c r="AZ30" s="132">
        <f t="shared" si="28"/>
        <v>0</v>
      </c>
      <c r="BA30" s="128">
        <f t="shared" si="29"/>
        <v>409</v>
      </c>
      <c r="BB30" s="128">
        <f t="shared" si="30"/>
        <v>570</v>
      </c>
      <c r="BC30" s="103">
        <f t="shared" si="31"/>
        <v>0.4975694444444444</v>
      </c>
      <c r="BD30" s="135">
        <v>0.49679398148148146</v>
      </c>
      <c r="BE30" s="133">
        <f t="shared" si="32"/>
        <v>-67</v>
      </c>
      <c r="BF30" s="134"/>
      <c r="BG30" s="270">
        <f t="shared" si="33"/>
        <v>0</v>
      </c>
      <c r="BH30" s="127">
        <v>0.52569444444444446</v>
      </c>
      <c r="BI30" s="443">
        <v>0.52638888888888891</v>
      </c>
      <c r="BJ30" s="132">
        <f t="shared" si="34"/>
        <v>1</v>
      </c>
      <c r="BK30" s="128">
        <f t="shared" si="35"/>
        <v>455</v>
      </c>
      <c r="BL30" s="128">
        <f t="shared" si="36"/>
        <v>670</v>
      </c>
      <c r="BM30" s="103">
        <f t="shared" si="37"/>
        <v>0.53414351851851849</v>
      </c>
      <c r="BN30" s="135">
        <v>0.53289351851851852</v>
      </c>
      <c r="BO30" s="133">
        <f t="shared" si="38"/>
        <v>-108</v>
      </c>
      <c r="BP30" s="134"/>
      <c r="BQ30" s="270">
        <f t="shared" si="57"/>
        <v>0</v>
      </c>
      <c r="BR30" s="127"/>
      <c r="BS30" s="130">
        <v>0.56388888888888888</v>
      </c>
      <c r="BT30" s="132">
        <f t="shared" si="39"/>
        <v>0</v>
      </c>
      <c r="BU30" s="128">
        <f t="shared" si="40"/>
        <v>1936</v>
      </c>
      <c r="BV30" s="103">
        <f t="shared" si="41"/>
        <v>0.58629629629629632</v>
      </c>
      <c r="BW30" s="135">
        <v>0.58400462962962962</v>
      </c>
      <c r="BX30" s="133">
        <f t="shared" si="42"/>
        <v>-198</v>
      </c>
      <c r="BY30" s="134"/>
      <c r="BZ30" s="270">
        <f t="shared" si="63"/>
        <v>198</v>
      </c>
      <c r="CA30" s="278"/>
      <c r="CB30" s="130">
        <v>0.60555555555555551</v>
      </c>
      <c r="CC30" s="132">
        <f t="shared" si="44"/>
        <v>0</v>
      </c>
      <c r="CD30" s="128">
        <f t="shared" si="45"/>
        <v>1899</v>
      </c>
      <c r="CE30" s="103">
        <f t="shared" si="46"/>
        <v>0.62753472222222217</v>
      </c>
      <c r="CF30" s="135">
        <v>0.64858796296296295</v>
      </c>
      <c r="CG30" s="133">
        <f t="shared" si="47"/>
        <v>1819</v>
      </c>
      <c r="CH30" s="134"/>
      <c r="CI30" s="270">
        <f t="shared" si="59"/>
        <v>1819</v>
      </c>
      <c r="CJ30" s="278"/>
      <c r="CK30" s="263">
        <f t="shared" si="49"/>
        <v>0.69027777777777777</v>
      </c>
      <c r="CL30" s="132">
        <f t="shared" si="50"/>
        <v>0</v>
      </c>
      <c r="CM30" s="131">
        <v>60</v>
      </c>
      <c r="CN30" s="440">
        <v>115.09</v>
      </c>
      <c r="CO30" s="147">
        <f t="shared" si="51"/>
        <v>55.1</v>
      </c>
      <c r="CP30" s="134"/>
      <c r="CQ30" s="134"/>
      <c r="CR30" s="134"/>
      <c r="CS30" s="134"/>
      <c r="CT30" s="270">
        <f t="shared" si="52"/>
        <v>551</v>
      </c>
      <c r="CU30" s="125" t="s">
        <v>590</v>
      </c>
      <c r="CV30" s="126" t="s">
        <v>569</v>
      </c>
      <c r="CW30" s="283">
        <v>8</v>
      </c>
      <c r="CX30" s="282">
        <f t="shared" si="53"/>
        <v>960</v>
      </c>
      <c r="CY30" s="283">
        <v>0</v>
      </c>
      <c r="CZ30" s="282">
        <f t="shared" si="54"/>
        <v>0</v>
      </c>
    </row>
    <row r="31" spans="1:104" x14ac:dyDescent="0.25">
      <c r="A31" s="427">
        <f t="shared" si="61"/>
        <v>9</v>
      </c>
      <c r="B31" s="416">
        <v>1</v>
      </c>
      <c r="C31" s="417" t="s">
        <v>431</v>
      </c>
      <c r="D31" s="417" t="s">
        <v>42</v>
      </c>
      <c r="E31" s="417" t="s">
        <v>84</v>
      </c>
      <c r="F31" s="417" t="s">
        <v>85</v>
      </c>
      <c r="G31" s="416" t="s">
        <v>30</v>
      </c>
      <c r="H31" s="418"/>
      <c r="I31" s="450">
        <f t="shared" si="55"/>
        <v>6059</v>
      </c>
      <c r="J31" s="281"/>
      <c r="K31" s="138"/>
      <c r="L31" s="264">
        <v>0.41736111111111113</v>
      </c>
      <c r="M31" s="258">
        <f t="shared" si="1"/>
        <v>105</v>
      </c>
      <c r="N31" s="279">
        <f t="shared" si="2"/>
        <v>0</v>
      </c>
      <c r="O31" s="259">
        <f t="shared" si="3"/>
        <v>0.49027777777777781</v>
      </c>
      <c r="P31" s="263">
        <f t="shared" si="4"/>
        <v>0.49027777777777781</v>
      </c>
      <c r="Q31" s="128">
        <f t="shared" si="5"/>
        <v>0</v>
      </c>
      <c r="R31" s="266">
        <f t="shared" si="6"/>
        <v>0</v>
      </c>
      <c r="S31" s="136">
        <f t="shared" si="7"/>
        <v>140</v>
      </c>
      <c r="T31" s="280">
        <f t="shared" si="8"/>
        <v>2</v>
      </c>
      <c r="U31" s="260">
        <f t="shared" si="9"/>
        <v>0.58750000000000002</v>
      </c>
      <c r="V31" s="261">
        <v>0.6</v>
      </c>
      <c r="W31" s="262">
        <f t="shared" si="10"/>
        <v>18</v>
      </c>
      <c r="X31" s="267">
        <f t="shared" si="11"/>
        <v>960</v>
      </c>
      <c r="Y31" s="136">
        <f t="shared" si="12"/>
        <v>95</v>
      </c>
      <c r="Z31" s="280">
        <f t="shared" si="13"/>
        <v>0</v>
      </c>
      <c r="AA31" s="260">
        <f t="shared" si="14"/>
        <v>0.66805555555555551</v>
      </c>
      <c r="AB31" s="128">
        <f t="shared" si="15"/>
        <v>10</v>
      </c>
      <c r="AC31" s="261">
        <v>0.67152777777777783</v>
      </c>
      <c r="AD31" s="262">
        <f t="shared" si="16"/>
        <v>5</v>
      </c>
      <c r="AE31" s="266">
        <f t="shared" si="17"/>
        <v>300</v>
      </c>
      <c r="AF31" s="261" t="s">
        <v>430</v>
      </c>
      <c r="AG31" s="266">
        <f t="shared" si="18"/>
        <v>0</v>
      </c>
      <c r="AH31" s="136">
        <f t="shared" si="19"/>
        <v>0</v>
      </c>
      <c r="AI31" s="128">
        <f t="shared" si="20"/>
        <v>0</v>
      </c>
      <c r="AJ31" s="129">
        <f t="shared" si="21"/>
        <v>0.49027777777777781</v>
      </c>
      <c r="AK31" s="137">
        <v>0.4909722222222222</v>
      </c>
      <c r="AL31" s="134"/>
      <c r="AM31" s="128">
        <f t="shared" si="22"/>
        <v>1</v>
      </c>
      <c r="AN31" s="268">
        <f t="shared" si="23"/>
        <v>0</v>
      </c>
      <c r="AO31" s="278"/>
      <c r="AP31" s="103">
        <f t="shared" si="24"/>
        <v>0.41736111111111113</v>
      </c>
      <c r="AQ31" s="132">
        <f t="shared" si="25"/>
        <v>0</v>
      </c>
      <c r="AR31" s="128">
        <f t="shared" si="56"/>
        <v>2503</v>
      </c>
      <c r="AS31" s="103">
        <f t="shared" si="26"/>
        <v>0.44633101851851853</v>
      </c>
      <c r="AT31" s="135">
        <v>0.45626157407407408</v>
      </c>
      <c r="AU31" s="133">
        <f t="shared" si="27"/>
        <v>858</v>
      </c>
      <c r="AV31" s="135"/>
      <c r="AW31" s="270">
        <f t="shared" si="62"/>
        <v>858</v>
      </c>
      <c r="AX31" s="127"/>
      <c r="AY31" s="130">
        <v>0.4770833333333333</v>
      </c>
      <c r="AZ31" s="132">
        <f t="shared" si="28"/>
        <v>0</v>
      </c>
      <c r="BA31" s="128">
        <f t="shared" si="29"/>
        <v>409</v>
      </c>
      <c r="BB31" s="128">
        <f t="shared" si="30"/>
        <v>570</v>
      </c>
      <c r="BC31" s="103">
        <f t="shared" si="31"/>
        <v>0.4836805555555555</v>
      </c>
      <c r="BD31" s="135">
        <v>0.48350694444444442</v>
      </c>
      <c r="BE31" s="133">
        <f t="shared" si="32"/>
        <v>-15</v>
      </c>
      <c r="BF31" s="134"/>
      <c r="BG31" s="270">
        <f t="shared" si="33"/>
        <v>0</v>
      </c>
      <c r="BH31" s="127">
        <v>0.51527777777777783</v>
      </c>
      <c r="BI31" s="130">
        <v>0.51666666666666672</v>
      </c>
      <c r="BJ31" s="132">
        <f t="shared" si="34"/>
        <v>2</v>
      </c>
      <c r="BK31" s="128">
        <f t="shared" si="35"/>
        <v>455</v>
      </c>
      <c r="BL31" s="128">
        <f t="shared" si="36"/>
        <v>670</v>
      </c>
      <c r="BM31" s="103">
        <f t="shared" si="37"/>
        <v>0.5244212962962963</v>
      </c>
      <c r="BN31" s="135">
        <v>0.52487268518518515</v>
      </c>
      <c r="BO31" s="133">
        <f t="shared" si="38"/>
        <v>39</v>
      </c>
      <c r="BP31" s="134"/>
      <c r="BQ31" s="270">
        <f t="shared" si="57"/>
        <v>39</v>
      </c>
      <c r="BR31" s="127"/>
      <c r="BS31" s="130">
        <v>0.5541666666666667</v>
      </c>
      <c r="BT31" s="132">
        <f t="shared" si="39"/>
        <v>0</v>
      </c>
      <c r="BU31" s="128">
        <f t="shared" si="40"/>
        <v>1936</v>
      </c>
      <c r="BV31" s="103">
        <f t="shared" si="41"/>
        <v>0.57657407407407413</v>
      </c>
      <c r="BW31" s="135">
        <v>0.58473379629629629</v>
      </c>
      <c r="BX31" s="133">
        <f t="shared" si="42"/>
        <v>705</v>
      </c>
      <c r="BY31" s="134"/>
      <c r="BZ31" s="270">
        <f t="shared" si="63"/>
        <v>705</v>
      </c>
      <c r="CA31" s="278"/>
      <c r="CB31" s="130">
        <v>0.6020833333333333</v>
      </c>
      <c r="CC31" s="132">
        <f t="shared" si="44"/>
        <v>0</v>
      </c>
      <c r="CD31" s="128">
        <f t="shared" si="45"/>
        <v>1899</v>
      </c>
      <c r="CE31" s="103">
        <f t="shared" si="46"/>
        <v>0.62406249999999996</v>
      </c>
      <c r="CF31" s="135">
        <v>0.63771990740740747</v>
      </c>
      <c r="CG31" s="133">
        <f t="shared" si="47"/>
        <v>1180</v>
      </c>
      <c r="CH31" s="134"/>
      <c r="CI31" s="270">
        <f t="shared" si="59"/>
        <v>1180</v>
      </c>
      <c r="CJ31" s="278"/>
      <c r="CK31" s="263">
        <f t="shared" si="49"/>
        <v>0.67152777777777783</v>
      </c>
      <c r="CL31" s="132">
        <f t="shared" si="50"/>
        <v>0</v>
      </c>
      <c r="CM31" s="131">
        <v>60</v>
      </c>
      <c r="CN31" s="440">
        <v>141.71</v>
      </c>
      <c r="CO31" s="147">
        <f t="shared" si="51"/>
        <v>81.7</v>
      </c>
      <c r="CP31" s="134"/>
      <c r="CQ31" s="134"/>
      <c r="CR31" s="134"/>
      <c r="CS31" s="134"/>
      <c r="CT31" s="270">
        <f t="shared" si="52"/>
        <v>817</v>
      </c>
      <c r="CU31" s="125" t="s">
        <v>570</v>
      </c>
      <c r="CV31" s="126" t="s">
        <v>569</v>
      </c>
      <c r="CW31" s="283">
        <v>10</v>
      </c>
      <c r="CX31" s="282">
        <f t="shared" si="53"/>
        <v>1200</v>
      </c>
      <c r="CY31" s="283">
        <v>0</v>
      </c>
      <c r="CZ31" s="282">
        <f t="shared" si="54"/>
        <v>0</v>
      </c>
    </row>
    <row r="32" spans="1:104" x14ac:dyDescent="0.25">
      <c r="A32" s="427">
        <f t="shared" si="61"/>
        <v>10</v>
      </c>
      <c r="B32" s="416">
        <v>23</v>
      </c>
      <c r="C32" s="417" t="s">
        <v>129</v>
      </c>
      <c r="D32" s="417" t="s">
        <v>506</v>
      </c>
      <c r="E32" s="417" t="s">
        <v>130</v>
      </c>
      <c r="F32" s="417" t="s">
        <v>131</v>
      </c>
      <c r="G32" s="416" t="s">
        <v>30</v>
      </c>
      <c r="H32" s="418"/>
      <c r="I32" s="450">
        <f t="shared" si="55"/>
        <v>6242</v>
      </c>
      <c r="J32" s="281"/>
      <c r="K32" s="138"/>
      <c r="L32" s="264">
        <v>0.43263888888888885</v>
      </c>
      <c r="M32" s="258">
        <f t="shared" si="1"/>
        <v>105</v>
      </c>
      <c r="N32" s="279">
        <f t="shared" si="2"/>
        <v>0</v>
      </c>
      <c r="O32" s="259">
        <f t="shared" si="3"/>
        <v>0.50555555555555554</v>
      </c>
      <c r="P32" s="263">
        <f t="shared" si="4"/>
        <v>0.50555555555555554</v>
      </c>
      <c r="Q32" s="128">
        <f t="shared" si="5"/>
        <v>0</v>
      </c>
      <c r="R32" s="266">
        <f t="shared" si="6"/>
        <v>0</v>
      </c>
      <c r="S32" s="136">
        <f t="shared" si="7"/>
        <v>140</v>
      </c>
      <c r="T32" s="280">
        <f t="shared" si="8"/>
        <v>2</v>
      </c>
      <c r="U32" s="260">
        <f t="shared" si="9"/>
        <v>0.60277777777777775</v>
      </c>
      <c r="V32" s="261">
        <v>0.60833333333333328</v>
      </c>
      <c r="W32" s="262">
        <f t="shared" si="10"/>
        <v>8</v>
      </c>
      <c r="X32" s="267">
        <f t="shared" si="11"/>
        <v>360</v>
      </c>
      <c r="Y32" s="136">
        <f t="shared" si="12"/>
        <v>95</v>
      </c>
      <c r="Z32" s="280">
        <f t="shared" si="13"/>
        <v>0</v>
      </c>
      <c r="AA32" s="260">
        <f t="shared" si="14"/>
        <v>0.67638888888888893</v>
      </c>
      <c r="AB32" s="128">
        <f t="shared" si="15"/>
        <v>10</v>
      </c>
      <c r="AC32" s="261">
        <v>0.68611111111111101</v>
      </c>
      <c r="AD32" s="262">
        <f t="shared" si="16"/>
        <v>14</v>
      </c>
      <c r="AE32" s="266">
        <f t="shared" si="17"/>
        <v>840</v>
      </c>
      <c r="AF32" s="261" t="s">
        <v>430</v>
      </c>
      <c r="AG32" s="266">
        <f t="shared" si="18"/>
        <v>0</v>
      </c>
      <c r="AH32" s="136">
        <f t="shared" si="19"/>
        <v>0</v>
      </c>
      <c r="AI32" s="128">
        <f t="shared" si="20"/>
        <v>0</v>
      </c>
      <c r="AJ32" s="129">
        <f t="shared" si="21"/>
        <v>0.50555555555555554</v>
      </c>
      <c r="AK32" s="137">
        <v>0.50624999999999998</v>
      </c>
      <c r="AL32" s="134"/>
      <c r="AM32" s="128">
        <f t="shared" si="22"/>
        <v>1</v>
      </c>
      <c r="AN32" s="268">
        <f t="shared" si="23"/>
        <v>0</v>
      </c>
      <c r="AO32" s="278"/>
      <c r="AP32" s="103">
        <f t="shared" si="24"/>
        <v>0.43263888888888885</v>
      </c>
      <c r="AQ32" s="132">
        <f t="shared" si="25"/>
        <v>0</v>
      </c>
      <c r="AR32" s="128">
        <f t="shared" si="56"/>
        <v>2503</v>
      </c>
      <c r="AS32" s="103">
        <f t="shared" si="26"/>
        <v>0.46160879629629625</v>
      </c>
      <c r="AT32" s="135">
        <v>0.44988425925925929</v>
      </c>
      <c r="AU32" s="133">
        <f t="shared" si="27"/>
        <v>-1013</v>
      </c>
      <c r="AV32" s="135"/>
      <c r="AW32" s="270">
        <f t="shared" si="62"/>
        <v>1013</v>
      </c>
      <c r="AX32" s="127"/>
      <c r="AY32" s="130">
        <v>0.49027777777777781</v>
      </c>
      <c r="AZ32" s="132">
        <f t="shared" si="28"/>
        <v>0</v>
      </c>
      <c r="BA32" s="128">
        <f t="shared" si="29"/>
        <v>409</v>
      </c>
      <c r="BB32" s="128">
        <f t="shared" si="30"/>
        <v>570</v>
      </c>
      <c r="BC32" s="103">
        <f t="shared" si="31"/>
        <v>0.49687500000000001</v>
      </c>
      <c r="BD32" s="135">
        <v>0.49674768518518514</v>
      </c>
      <c r="BE32" s="133">
        <f t="shared" si="32"/>
        <v>-11</v>
      </c>
      <c r="BF32" s="134"/>
      <c r="BG32" s="270">
        <f t="shared" si="33"/>
        <v>0</v>
      </c>
      <c r="BH32" s="127">
        <v>0.53125</v>
      </c>
      <c r="BI32" s="130">
        <v>0.53263888888888888</v>
      </c>
      <c r="BJ32" s="132">
        <f t="shared" si="34"/>
        <v>2</v>
      </c>
      <c r="BK32" s="128">
        <f t="shared" si="35"/>
        <v>455</v>
      </c>
      <c r="BL32" s="128">
        <f t="shared" si="36"/>
        <v>670</v>
      </c>
      <c r="BM32" s="103">
        <f t="shared" si="37"/>
        <v>0.54039351851851847</v>
      </c>
      <c r="BN32" s="135">
        <v>0.54050925925925919</v>
      </c>
      <c r="BO32" s="133">
        <f t="shared" si="38"/>
        <v>10</v>
      </c>
      <c r="BP32" s="134"/>
      <c r="BQ32" s="270">
        <f t="shared" si="57"/>
        <v>10</v>
      </c>
      <c r="BR32" s="447"/>
      <c r="BS32" s="449">
        <v>0.57152777777777775</v>
      </c>
      <c r="BT32" s="132">
        <f t="shared" si="39"/>
        <v>0</v>
      </c>
      <c r="BU32" s="128">
        <f t="shared" si="40"/>
        <v>1936</v>
      </c>
      <c r="BV32" s="103">
        <f t="shared" si="41"/>
        <v>0.59393518518518518</v>
      </c>
      <c r="BW32" s="135">
        <v>0.57755787037037043</v>
      </c>
      <c r="BX32" s="133">
        <f t="shared" si="42"/>
        <v>-1415</v>
      </c>
      <c r="BY32" s="134"/>
      <c r="BZ32" s="270">
        <f t="shared" si="63"/>
        <v>1415</v>
      </c>
      <c r="CA32" s="278"/>
      <c r="CB32" s="130">
        <v>0.61041666666666672</v>
      </c>
      <c r="CC32" s="132">
        <f t="shared" si="44"/>
        <v>0</v>
      </c>
      <c r="CD32" s="128">
        <f t="shared" si="45"/>
        <v>1899</v>
      </c>
      <c r="CE32" s="103">
        <f t="shared" si="46"/>
        <v>0.63239583333333338</v>
      </c>
      <c r="CF32" s="135">
        <v>0.6464699074074074</v>
      </c>
      <c r="CG32" s="133">
        <f t="shared" si="47"/>
        <v>1216</v>
      </c>
      <c r="CH32" s="134"/>
      <c r="CI32" s="270">
        <f t="shared" si="59"/>
        <v>1216</v>
      </c>
      <c r="CJ32" s="278"/>
      <c r="CK32" s="263">
        <f t="shared" si="49"/>
        <v>0.68611111111111101</v>
      </c>
      <c r="CL32" s="132">
        <f t="shared" si="50"/>
        <v>0</v>
      </c>
      <c r="CM32" s="131">
        <v>60</v>
      </c>
      <c r="CN32" s="440">
        <v>114.82</v>
      </c>
      <c r="CO32" s="147">
        <f t="shared" si="51"/>
        <v>54.8</v>
      </c>
      <c r="CP32" s="134"/>
      <c r="CQ32" s="134"/>
      <c r="CR32" s="134"/>
      <c r="CS32" s="134"/>
      <c r="CT32" s="270">
        <f t="shared" si="52"/>
        <v>548</v>
      </c>
      <c r="CU32" s="125" t="s">
        <v>588</v>
      </c>
      <c r="CV32" s="126" t="s">
        <v>569</v>
      </c>
      <c r="CW32" s="283">
        <v>7</v>
      </c>
      <c r="CX32" s="282">
        <f t="shared" si="53"/>
        <v>840</v>
      </c>
      <c r="CY32" s="283">
        <v>0</v>
      </c>
      <c r="CZ32" s="282">
        <f t="shared" si="54"/>
        <v>0</v>
      </c>
    </row>
    <row r="33" spans="1:104" x14ac:dyDescent="0.25">
      <c r="A33" s="427">
        <f t="shared" si="61"/>
        <v>11</v>
      </c>
      <c r="B33" s="416">
        <v>21</v>
      </c>
      <c r="C33" s="417" t="s">
        <v>137</v>
      </c>
      <c r="D33" s="417" t="s">
        <v>498</v>
      </c>
      <c r="E33" s="417" t="s">
        <v>45</v>
      </c>
      <c r="F33" s="417" t="s">
        <v>46</v>
      </c>
      <c r="G33" s="416" t="s">
        <v>30</v>
      </c>
      <c r="H33" s="418"/>
      <c r="I33" s="450">
        <f t="shared" si="55"/>
        <v>7763</v>
      </c>
      <c r="J33" s="281"/>
      <c r="K33" s="138"/>
      <c r="L33" s="264">
        <v>0.43124999999999997</v>
      </c>
      <c r="M33" s="258">
        <f t="shared" si="1"/>
        <v>105</v>
      </c>
      <c r="N33" s="279">
        <f t="shared" si="2"/>
        <v>0</v>
      </c>
      <c r="O33" s="259">
        <f t="shared" si="3"/>
        <v>0.50416666666666665</v>
      </c>
      <c r="P33" s="263">
        <f t="shared" si="4"/>
        <v>0.50416666666666665</v>
      </c>
      <c r="Q33" s="128">
        <f t="shared" si="5"/>
        <v>0</v>
      </c>
      <c r="R33" s="266">
        <f t="shared" si="6"/>
        <v>0</v>
      </c>
      <c r="S33" s="136">
        <f t="shared" si="7"/>
        <v>140</v>
      </c>
      <c r="T33" s="280">
        <f t="shared" si="8"/>
        <v>1</v>
      </c>
      <c r="U33" s="260">
        <f t="shared" si="9"/>
        <v>0.60138888888888886</v>
      </c>
      <c r="V33" s="261">
        <v>0.62361111111111112</v>
      </c>
      <c r="W33" s="262">
        <f t="shared" si="10"/>
        <v>32</v>
      </c>
      <c r="X33" s="267">
        <f t="shared" si="11"/>
        <v>1860</v>
      </c>
      <c r="Y33" s="136">
        <f t="shared" si="12"/>
        <v>95</v>
      </c>
      <c r="Z33" s="280">
        <f t="shared" si="13"/>
        <v>0</v>
      </c>
      <c r="AA33" s="260">
        <f t="shared" si="14"/>
        <v>0.69027777777777777</v>
      </c>
      <c r="AB33" s="128">
        <f t="shared" si="15"/>
        <v>10</v>
      </c>
      <c r="AC33" s="261">
        <v>0.69930555555555562</v>
      </c>
      <c r="AD33" s="262">
        <f t="shared" si="16"/>
        <v>13</v>
      </c>
      <c r="AE33" s="266">
        <f t="shared" si="17"/>
        <v>780</v>
      </c>
      <c r="AF33" s="261" t="s">
        <v>430</v>
      </c>
      <c r="AG33" s="266">
        <f t="shared" si="18"/>
        <v>0</v>
      </c>
      <c r="AH33" s="136">
        <f t="shared" si="19"/>
        <v>0</v>
      </c>
      <c r="AI33" s="128">
        <f t="shared" si="20"/>
        <v>0</v>
      </c>
      <c r="AJ33" s="129">
        <f t="shared" si="21"/>
        <v>0.50416666666666665</v>
      </c>
      <c r="AK33" s="137">
        <v>0.51180555555555551</v>
      </c>
      <c r="AL33" s="134"/>
      <c r="AM33" s="128">
        <f t="shared" si="22"/>
        <v>11</v>
      </c>
      <c r="AN33" s="268">
        <f t="shared" si="23"/>
        <v>0</v>
      </c>
      <c r="AO33" s="278"/>
      <c r="AP33" s="103">
        <f t="shared" si="24"/>
        <v>0.43124999999999997</v>
      </c>
      <c r="AQ33" s="132">
        <f t="shared" si="25"/>
        <v>0</v>
      </c>
      <c r="AR33" s="128">
        <f t="shared" si="56"/>
        <v>2503</v>
      </c>
      <c r="AS33" s="103">
        <f t="shared" si="26"/>
        <v>0.46021990740740737</v>
      </c>
      <c r="AT33" s="717">
        <v>0.47978009259259258</v>
      </c>
      <c r="AU33" s="133">
        <f t="shared" si="27"/>
        <v>1690</v>
      </c>
      <c r="AV33" s="135"/>
      <c r="AW33" s="270">
        <f t="shared" si="62"/>
        <v>1690</v>
      </c>
      <c r="AX33" s="127"/>
      <c r="AY33" s="130">
        <v>0.5</v>
      </c>
      <c r="AZ33" s="132">
        <f t="shared" si="28"/>
        <v>0</v>
      </c>
      <c r="BA33" s="128">
        <f t="shared" si="29"/>
        <v>409</v>
      </c>
      <c r="BB33" s="128">
        <f t="shared" si="30"/>
        <v>570</v>
      </c>
      <c r="BC33" s="103">
        <f t="shared" si="31"/>
        <v>0.50659722222222225</v>
      </c>
      <c r="BD33" s="135">
        <v>0.50601851851851853</v>
      </c>
      <c r="BE33" s="133">
        <f t="shared" si="32"/>
        <v>-50</v>
      </c>
      <c r="BF33" s="134"/>
      <c r="BG33" s="270">
        <f t="shared" si="33"/>
        <v>0</v>
      </c>
      <c r="BH33" s="127">
        <v>0.5395833333333333</v>
      </c>
      <c r="BI33" s="130">
        <v>0.54027777777777775</v>
      </c>
      <c r="BJ33" s="132">
        <f t="shared" si="34"/>
        <v>1</v>
      </c>
      <c r="BK33" s="128">
        <f t="shared" si="35"/>
        <v>455</v>
      </c>
      <c r="BL33" s="128">
        <f t="shared" si="36"/>
        <v>670</v>
      </c>
      <c r="BM33" s="103">
        <f t="shared" si="37"/>
        <v>0.54803240740740733</v>
      </c>
      <c r="BN33" s="135">
        <v>0.5481597222222222</v>
      </c>
      <c r="BO33" s="133">
        <f t="shared" si="38"/>
        <v>11</v>
      </c>
      <c r="BP33" s="134"/>
      <c r="BQ33" s="270">
        <f t="shared" si="57"/>
        <v>11</v>
      </c>
      <c r="BR33" s="127"/>
      <c r="BS33" s="130">
        <v>0.57361111111111118</v>
      </c>
      <c r="BT33" s="132">
        <f t="shared" si="39"/>
        <v>0</v>
      </c>
      <c r="BU33" s="128">
        <f t="shared" si="40"/>
        <v>1936</v>
      </c>
      <c r="BV33" s="103">
        <f t="shared" si="41"/>
        <v>0.59601851851851861</v>
      </c>
      <c r="BW33" s="135">
        <v>0.60820601851851852</v>
      </c>
      <c r="BX33" s="133">
        <f t="shared" si="42"/>
        <v>1053</v>
      </c>
      <c r="BY33" s="134"/>
      <c r="BZ33" s="270">
        <f t="shared" si="63"/>
        <v>1053</v>
      </c>
      <c r="CA33" s="278"/>
      <c r="CB33" s="130">
        <v>0.62430555555555556</v>
      </c>
      <c r="CC33" s="132">
        <f t="shared" si="44"/>
        <v>0</v>
      </c>
      <c r="CD33" s="128">
        <f t="shared" si="45"/>
        <v>1899</v>
      </c>
      <c r="CE33" s="103">
        <f t="shared" si="46"/>
        <v>0.64628472222222222</v>
      </c>
      <c r="CF33" s="135">
        <v>0.65136574074074072</v>
      </c>
      <c r="CG33" s="133">
        <f t="shared" si="47"/>
        <v>439</v>
      </c>
      <c r="CH33" s="134"/>
      <c r="CI33" s="270">
        <f t="shared" si="59"/>
        <v>439</v>
      </c>
      <c r="CJ33" s="278"/>
      <c r="CK33" s="263">
        <f t="shared" si="49"/>
        <v>0.69930555555555562</v>
      </c>
      <c r="CL33" s="132">
        <f t="shared" si="50"/>
        <v>0</v>
      </c>
      <c r="CM33" s="131">
        <v>60</v>
      </c>
      <c r="CN33" s="440">
        <v>169.04</v>
      </c>
      <c r="CO33" s="147">
        <f t="shared" si="51"/>
        <v>109</v>
      </c>
      <c r="CP33" s="134"/>
      <c r="CQ33" s="134"/>
      <c r="CR33" s="134"/>
      <c r="CS33" s="134"/>
      <c r="CT33" s="270">
        <f t="shared" si="52"/>
        <v>1090</v>
      </c>
      <c r="CU33" s="125" t="s">
        <v>597</v>
      </c>
      <c r="CV33" s="126" t="s">
        <v>569</v>
      </c>
      <c r="CW33" s="283">
        <v>7</v>
      </c>
      <c r="CX33" s="282">
        <f t="shared" si="53"/>
        <v>840</v>
      </c>
      <c r="CY33" s="283">
        <v>0</v>
      </c>
      <c r="CZ33" s="282">
        <f t="shared" si="54"/>
        <v>0</v>
      </c>
    </row>
    <row r="34" spans="1:104" x14ac:dyDescent="0.25">
      <c r="A34" s="427">
        <f t="shared" si="61"/>
        <v>12</v>
      </c>
      <c r="B34" s="416">
        <v>20</v>
      </c>
      <c r="C34" s="417" t="s">
        <v>138</v>
      </c>
      <c r="D34" s="417" t="s">
        <v>496</v>
      </c>
      <c r="E34" s="417" t="s">
        <v>44</v>
      </c>
      <c r="F34" s="417" t="s">
        <v>139</v>
      </c>
      <c r="G34" s="416" t="s">
        <v>30</v>
      </c>
      <c r="H34" s="418"/>
      <c r="I34" s="450">
        <f t="shared" si="55"/>
        <v>9866.6</v>
      </c>
      <c r="J34" s="281"/>
      <c r="K34" s="138"/>
      <c r="L34" s="264">
        <v>0.43055555555555558</v>
      </c>
      <c r="M34" s="258">
        <f t="shared" si="1"/>
        <v>105</v>
      </c>
      <c r="N34" s="279">
        <f t="shared" si="2"/>
        <v>0</v>
      </c>
      <c r="O34" s="259">
        <f t="shared" si="3"/>
        <v>0.50347222222222221</v>
      </c>
      <c r="P34" s="263">
        <f t="shared" si="4"/>
        <v>0.50347222222222221</v>
      </c>
      <c r="Q34" s="128">
        <f t="shared" si="5"/>
        <v>0</v>
      </c>
      <c r="R34" s="266">
        <f t="shared" si="6"/>
        <v>0</v>
      </c>
      <c r="S34" s="136">
        <f t="shared" si="7"/>
        <v>140</v>
      </c>
      <c r="T34" s="280">
        <f t="shared" si="8"/>
        <v>1</v>
      </c>
      <c r="U34" s="260">
        <f t="shared" si="9"/>
        <v>0.60069444444444442</v>
      </c>
      <c r="V34" s="261">
        <v>0.64513888888888882</v>
      </c>
      <c r="W34" s="262">
        <f t="shared" si="10"/>
        <v>64</v>
      </c>
      <c r="X34" s="267">
        <f t="shared" si="11"/>
        <v>3780</v>
      </c>
      <c r="Y34" s="136">
        <f t="shared" si="12"/>
        <v>95</v>
      </c>
      <c r="Z34" s="280">
        <f t="shared" si="13"/>
        <v>0</v>
      </c>
      <c r="AA34" s="260">
        <f t="shared" si="14"/>
        <v>0.71180555555555558</v>
      </c>
      <c r="AB34" s="128">
        <f t="shared" si="15"/>
        <v>10</v>
      </c>
      <c r="AC34" s="261">
        <v>0.71944444444444444</v>
      </c>
      <c r="AD34" s="262">
        <f t="shared" si="16"/>
        <v>11</v>
      </c>
      <c r="AE34" s="266">
        <f t="shared" si="17"/>
        <v>660</v>
      </c>
      <c r="AF34" s="261"/>
      <c r="AG34" s="266">
        <f t="shared" si="18"/>
        <v>300</v>
      </c>
      <c r="AH34" s="136">
        <f t="shared" si="19"/>
        <v>0</v>
      </c>
      <c r="AI34" s="128">
        <f t="shared" si="20"/>
        <v>0</v>
      </c>
      <c r="AJ34" s="129">
        <f t="shared" si="21"/>
        <v>0.50347222222222221</v>
      </c>
      <c r="AK34" s="137">
        <v>0.52500000000000002</v>
      </c>
      <c r="AL34" s="134"/>
      <c r="AM34" s="128">
        <f t="shared" si="22"/>
        <v>31</v>
      </c>
      <c r="AN34" s="268">
        <f t="shared" si="23"/>
        <v>0</v>
      </c>
      <c r="AO34" s="278"/>
      <c r="AP34" s="103">
        <f t="shared" si="24"/>
        <v>0.43055555555555558</v>
      </c>
      <c r="AQ34" s="132">
        <f t="shared" si="25"/>
        <v>0</v>
      </c>
      <c r="AR34" s="128">
        <f t="shared" si="56"/>
        <v>2503</v>
      </c>
      <c r="AS34" s="103">
        <f t="shared" si="26"/>
        <v>0.45952546296296298</v>
      </c>
      <c r="AT34" s="135"/>
      <c r="AU34" s="133">
        <f t="shared" si="27"/>
        <v>-39703</v>
      </c>
      <c r="AV34" s="135"/>
      <c r="AW34" s="441">
        <v>1799.6000000000001</v>
      </c>
      <c r="AX34" s="127"/>
      <c r="AY34" s="130">
        <v>0.5131944444444444</v>
      </c>
      <c r="AZ34" s="132">
        <f t="shared" si="28"/>
        <v>0</v>
      </c>
      <c r="BA34" s="128">
        <f t="shared" si="29"/>
        <v>409</v>
      </c>
      <c r="BB34" s="128">
        <f t="shared" si="30"/>
        <v>570</v>
      </c>
      <c r="BC34" s="103">
        <f t="shared" si="31"/>
        <v>0.51979166666666665</v>
      </c>
      <c r="BD34" s="135">
        <v>0.51967592592592593</v>
      </c>
      <c r="BE34" s="133">
        <f t="shared" si="32"/>
        <v>-10</v>
      </c>
      <c r="BF34" s="134"/>
      <c r="BG34" s="270">
        <f t="shared" si="33"/>
        <v>0</v>
      </c>
      <c r="BH34" s="444">
        <v>0.56319444444444444</v>
      </c>
      <c r="BI34" s="445">
        <v>0.56388888888888888</v>
      </c>
      <c r="BJ34" s="132">
        <f t="shared" si="34"/>
        <v>1</v>
      </c>
      <c r="BK34" s="128">
        <f t="shared" si="35"/>
        <v>455</v>
      </c>
      <c r="BL34" s="128">
        <f t="shared" si="36"/>
        <v>670</v>
      </c>
      <c r="BM34" s="103">
        <f t="shared" si="37"/>
        <v>0.57164351851851847</v>
      </c>
      <c r="BN34" s="135">
        <v>0.57118055555555558</v>
      </c>
      <c r="BO34" s="133">
        <f t="shared" si="38"/>
        <v>-40</v>
      </c>
      <c r="BP34" s="134"/>
      <c r="BQ34" s="270">
        <f t="shared" si="57"/>
        <v>0</v>
      </c>
      <c r="BR34" s="127"/>
      <c r="BS34" s="130">
        <v>0.59513888888888888</v>
      </c>
      <c r="BT34" s="132">
        <f t="shared" si="39"/>
        <v>0</v>
      </c>
      <c r="BU34" s="128">
        <f t="shared" si="40"/>
        <v>1936</v>
      </c>
      <c r="BV34" s="103">
        <f t="shared" si="41"/>
        <v>0.61754629629629632</v>
      </c>
      <c r="BW34" s="135">
        <v>0.6287962962962963</v>
      </c>
      <c r="BX34" s="133">
        <f t="shared" si="42"/>
        <v>972</v>
      </c>
      <c r="BY34" s="134"/>
      <c r="BZ34" s="270">
        <f t="shared" si="63"/>
        <v>972</v>
      </c>
      <c r="CA34" s="278"/>
      <c r="CB34" s="130">
        <v>0.64583333333333337</v>
      </c>
      <c r="CC34" s="132">
        <f t="shared" si="44"/>
        <v>0</v>
      </c>
      <c r="CD34" s="128">
        <f t="shared" si="45"/>
        <v>1899</v>
      </c>
      <c r="CE34" s="103">
        <f t="shared" si="46"/>
        <v>0.66781250000000003</v>
      </c>
      <c r="CF34" s="135">
        <v>0.67887731481481473</v>
      </c>
      <c r="CG34" s="133">
        <f t="shared" si="47"/>
        <v>956</v>
      </c>
      <c r="CH34" s="134"/>
      <c r="CI34" s="270">
        <f t="shared" si="59"/>
        <v>956</v>
      </c>
      <c r="CJ34" s="278"/>
      <c r="CK34" s="263">
        <f t="shared" si="49"/>
        <v>0.71944444444444444</v>
      </c>
      <c r="CL34" s="132">
        <f t="shared" si="50"/>
        <v>0</v>
      </c>
      <c r="CM34" s="131">
        <v>60</v>
      </c>
      <c r="CN34" s="440">
        <v>127.87</v>
      </c>
      <c r="CO34" s="147">
        <f t="shared" si="51"/>
        <v>67.900000000000006</v>
      </c>
      <c r="CP34" s="134"/>
      <c r="CQ34" s="134"/>
      <c r="CR34" s="134"/>
      <c r="CS34" s="134"/>
      <c r="CT34" s="270">
        <f t="shared" si="52"/>
        <v>679</v>
      </c>
      <c r="CU34" s="125" t="s">
        <v>567</v>
      </c>
      <c r="CV34" s="126" t="s">
        <v>569</v>
      </c>
      <c r="CW34" s="283">
        <v>6</v>
      </c>
      <c r="CX34" s="282">
        <f t="shared" si="53"/>
        <v>720</v>
      </c>
      <c r="CY34" s="283">
        <v>0</v>
      </c>
      <c r="CZ34" s="282">
        <f t="shared" si="54"/>
        <v>0</v>
      </c>
    </row>
    <row r="35" spans="1:104" x14ac:dyDescent="0.25">
      <c r="V35" s="15">
        <f>COUNTA(V6:V34)</f>
        <v>28</v>
      </c>
      <c r="AC35" s="15">
        <f>COUNTA(AC6:AC34)</f>
        <v>29</v>
      </c>
      <c r="AF35" s="15">
        <f>COUNTA(AF6:AF34)</f>
        <v>24</v>
      </c>
      <c r="AK35" s="15">
        <f>COUNTA(AK6:AK34)</f>
        <v>29</v>
      </c>
      <c r="AT35" s="15">
        <f>COUNTA(AT6:AT34)</f>
        <v>25</v>
      </c>
      <c r="AY35" s="15">
        <f>COUNTA(AY6:AY34)</f>
        <v>29</v>
      </c>
      <c r="BD35" s="15">
        <f>COUNTA(BD6:BD34)</f>
        <v>29</v>
      </c>
      <c r="BH35" s="15">
        <f>COUNTA(BH6:BH34)</f>
        <v>26</v>
      </c>
      <c r="BI35" s="15">
        <f>COUNTA(BI6:BI34)</f>
        <v>28</v>
      </c>
      <c r="BN35" s="15">
        <f>COUNTA(BN6:BN34)</f>
        <v>29</v>
      </c>
      <c r="BS35" s="15">
        <f>COUNTA(BS6:BS34)</f>
        <v>29</v>
      </c>
      <c r="BW35" s="15">
        <f>COUNTA(BW6:BW34)</f>
        <v>29</v>
      </c>
      <c r="CB35" s="15">
        <f>COUNTA(CB6:CB34)</f>
        <v>28</v>
      </c>
      <c r="CF35" s="15">
        <f>COUNTA(CF6:CF34)</f>
        <v>29</v>
      </c>
      <c r="CN35" s="15">
        <f>COUNTA(CN6:CN34)</f>
        <v>29</v>
      </c>
      <c r="CU35" s="15">
        <f>COUNTA(CU6:CU34)</f>
        <v>29</v>
      </c>
      <c r="CY35" s="15">
        <f>COUNTA(CY6:CY34)</f>
        <v>29</v>
      </c>
    </row>
  </sheetData>
  <mergeCells count="20">
    <mergeCell ref="CU4:CX4"/>
    <mergeCell ref="CY4:CZ4"/>
    <mergeCell ref="AO4:AW4"/>
    <mergeCell ref="AX4:BG4"/>
    <mergeCell ref="BH4:BQ4"/>
    <mergeCell ref="BR4:BZ4"/>
    <mergeCell ref="CA4:CI4"/>
    <mergeCell ref="CJ4:CT4"/>
    <mergeCell ref="AH4:AN4"/>
    <mergeCell ref="C1:G1"/>
    <mergeCell ref="C2:G2"/>
    <mergeCell ref="C4:I4"/>
    <mergeCell ref="J4:K4"/>
    <mergeCell ref="M4:N4"/>
    <mergeCell ref="O4:R4"/>
    <mergeCell ref="S4:T4"/>
    <mergeCell ref="U4:X4"/>
    <mergeCell ref="Y4:Z4"/>
    <mergeCell ref="AA4:AE4"/>
    <mergeCell ref="AF4:AG4"/>
  </mergeCells>
  <pageMargins left="0.39370078740157483" right="0.39370078740157483" top="0.39370078740157483" bottom="0.39370078740157483" header="0" footer="0"/>
  <pageSetup paperSize="9" scale="8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L11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16384" width="9.140625" style="15"/>
  </cols>
  <sheetData>
    <row r="1" spans="1:12" ht="17.45" customHeight="1" x14ac:dyDescent="0.25">
      <c r="A1" s="2"/>
      <c r="B1" s="3"/>
      <c r="C1" s="4"/>
      <c r="D1" s="458" t="str">
        <f>НазваниеКраткое</f>
        <v>Западные ворота - 2017</v>
      </c>
      <c r="E1" s="459"/>
      <c r="F1" s="167" t="s">
        <v>8</v>
      </c>
      <c r="G1" s="168">
        <f>ЮжнаяРасстояние</f>
        <v>5.89</v>
      </c>
    </row>
    <row r="2" spans="1:12" ht="17.45" customHeight="1" x14ac:dyDescent="0.25">
      <c r="A2" s="5"/>
      <c r="B2" s="6"/>
      <c r="C2" s="7"/>
      <c r="D2" s="458" t="s">
        <v>264</v>
      </c>
      <c r="E2" s="459"/>
      <c r="F2" s="167" t="s">
        <v>10</v>
      </c>
      <c r="G2" s="169" t="s">
        <v>253</v>
      </c>
    </row>
    <row r="3" spans="1:12" ht="17.45" customHeight="1" x14ac:dyDescent="0.25">
      <c r="A3" s="5"/>
      <c r="B3" s="6"/>
      <c r="C3" s="7"/>
      <c r="D3" s="458" t="str">
        <f>ТИ0</f>
        <v>ТИ-0</v>
      </c>
      <c r="E3" s="459"/>
      <c r="F3" s="167" t="s">
        <v>9</v>
      </c>
      <c r="G3" s="170" t="s">
        <v>253</v>
      </c>
    </row>
    <row r="4" spans="1:12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12" ht="240" customHeight="1" x14ac:dyDescent="0.25">
      <c r="A5" s="206">
        <v>1</v>
      </c>
      <c r="B5" s="208">
        <v>0</v>
      </c>
      <c r="C5" s="205">
        <v>0</v>
      </c>
      <c r="D5" s="462"/>
      <c r="E5" s="463"/>
      <c r="F5" s="464"/>
      <c r="G5" s="11">
        <f t="shared" ref="G5:G11" si="0">ЮжнаяРасстояние-B5</f>
        <v>5.89</v>
      </c>
      <c r="L5" s="172"/>
    </row>
    <row r="6" spans="1:12" ht="120" customHeight="1" x14ac:dyDescent="0.25">
      <c r="A6" s="10">
        <f>1+A5</f>
        <v>2</v>
      </c>
      <c r="B6" s="166">
        <v>0.62</v>
      </c>
      <c r="C6" s="166">
        <f>B6-B5</f>
        <v>0.62</v>
      </c>
      <c r="D6" s="10"/>
      <c r="E6" s="466"/>
      <c r="F6" s="465"/>
      <c r="G6" s="11">
        <f t="shared" si="0"/>
        <v>5.27</v>
      </c>
    </row>
    <row r="7" spans="1:12" ht="120" customHeight="1" x14ac:dyDescent="0.25">
      <c r="A7" s="10">
        <f t="shared" ref="A7:A11" si="1">1+A6</f>
        <v>3</v>
      </c>
      <c r="B7" s="166">
        <v>2.69</v>
      </c>
      <c r="C7" s="166">
        <f t="shared" ref="C7:C11" si="2">B7-B6</f>
        <v>2.0699999999999998</v>
      </c>
      <c r="D7" s="10"/>
      <c r="E7" s="453"/>
      <c r="F7" s="465"/>
      <c r="G7" s="11">
        <f t="shared" si="0"/>
        <v>3.1999999999999997</v>
      </c>
    </row>
    <row r="8" spans="1:12" ht="120" customHeight="1" x14ac:dyDescent="0.25">
      <c r="A8" s="10">
        <f t="shared" si="1"/>
        <v>4</v>
      </c>
      <c r="B8" s="166">
        <v>4.26</v>
      </c>
      <c r="C8" s="166">
        <f t="shared" si="2"/>
        <v>1.5699999999999998</v>
      </c>
      <c r="D8" s="10"/>
      <c r="E8" s="453"/>
      <c r="F8" s="454"/>
      <c r="G8" s="11">
        <f t="shared" si="0"/>
        <v>1.63</v>
      </c>
    </row>
    <row r="9" spans="1:12" ht="120" customHeight="1" x14ac:dyDescent="0.25">
      <c r="A9" s="10">
        <f t="shared" si="1"/>
        <v>5</v>
      </c>
      <c r="B9" s="166">
        <v>5.73</v>
      </c>
      <c r="C9" s="166">
        <f t="shared" si="2"/>
        <v>1.4700000000000006</v>
      </c>
      <c r="D9" s="10"/>
      <c r="E9" s="453"/>
      <c r="F9" s="454"/>
      <c r="G9" s="11">
        <f t="shared" si="0"/>
        <v>0.15999999999999925</v>
      </c>
    </row>
    <row r="10" spans="1:12" ht="240" customHeight="1" x14ac:dyDescent="0.25">
      <c r="A10" s="10">
        <f t="shared" si="1"/>
        <v>6</v>
      </c>
      <c r="B10" s="166">
        <v>5.8</v>
      </c>
      <c r="C10" s="166">
        <f t="shared" si="2"/>
        <v>6.9999999999999396E-2</v>
      </c>
      <c r="D10" s="455"/>
      <c r="E10" s="456"/>
      <c r="F10" s="457"/>
      <c r="G10" s="11">
        <f t="shared" si="0"/>
        <v>8.9999999999999858E-2</v>
      </c>
    </row>
    <row r="11" spans="1:12" ht="120" customHeight="1" x14ac:dyDescent="0.25">
      <c r="A11" s="10">
        <f t="shared" si="1"/>
        <v>7</v>
      </c>
      <c r="B11" s="166">
        <v>5.89</v>
      </c>
      <c r="C11" s="166">
        <f t="shared" si="2"/>
        <v>8.9999999999999858E-2</v>
      </c>
      <c r="D11" s="171"/>
      <c r="E11" s="453" t="s">
        <v>386</v>
      </c>
      <c r="F11" s="454"/>
      <c r="G11" s="11">
        <f t="shared" si="0"/>
        <v>0</v>
      </c>
    </row>
  </sheetData>
  <mergeCells count="11">
    <mergeCell ref="D1:E1"/>
    <mergeCell ref="D2:E2"/>
    <mergeCell ref="D3:E3"/>
    <mergeCell ref="E4:F4"/>
    <mergeCell ref="D5:F5"/>
    <mergeCell ref="D10:F10"/>
    <mergeCell ref="E11:F11"/>
    <mergeCell ref="E6:F6"/>
    <mergeCell ref="E7:F7"/>
    <mergeCell ref="E8:F8"/>
    <mergeCell ref="E9:F9"/>
  </mergeCells>
  <pageMargins left="0.39370078740157483" right="0.39370078740157483" top="0.39370078740157483" bottom="0.39370078740157483" header="0" footer="0"/>
  <pageSetup paperSize="9" orientation="portrait" horizontalDpi="200" verticalDpi="200" r:id="rId1"/>
  <headerFooter>
    <oddFooter>Страница 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CZ35"/>
  <sheetViews>
    <sheetView view="pageBreakPreview" zoomScaleNormal="100" zoomScaleSheetLayoutView="100" workbookViewId="0">
      <pane xSplit="2" ySplit="5" topLeftCell="CH15" activePane="bottomRight" state="frozen"/>
      <selection pane="topRight" activeCell="C1" sqref="C1"/>
      <selection pane="bottomLeft" activeCell="A3" sqref="A3"/>
      <selection pane="bottomRight" activeCell="A20" sqref="A20:XFD20"/>
    </sheetView>
  </sheetViews>
  <sheetFormatPr defaultRowHeight="15" outlineLevelCol="2" x14ac:dyDescent="0.25"/>
  <cols>
    <col min="1" max="1" width="6" style="15" customWidth="1" outlineLevel="1"/>
    <col min="2" max="2" width="9.140625" style="15"/>
    <col min="3" max="3" width="18.7109375" style="15" customWidth="1"/>
    <col min="4" max="6" width="18.140625" style="15" customWidth="1" outlineLevel="1"/>
    <col min="7" max="8" width="8.7109375" style="15" customWidth="1" outlineLevel="1"/>
    <col min="9" max="9" width="9.140625" style="15"/>
    <col min="10" max="10" width="8.7109375" style="15" customWidth="1"/>
    <col min="11" max="11" width="12.7109375" style="15" customWidth="1"/>
    <col min="12" max="12" width="11.7109375" style="15" customWidth="1" outlineLevel="1"/>
    <col min="13" max="14" width="9.140625" style="15" customWidth="1" outlineLevel="1"/>
    <col min="15" max="18" width="7.28515625" style="15" customWidth="1" outlineLevel="2"/>
    <col min="19" max="21" width="7.28515625" style="15" customWidth="1" outlineLevel="1"/>
    <col min="22" max="22" width="7.28515625" style="15" customWidth="1"/>
    <col min="23" max="23" width="7.28515625" style="15" customWidth="1" outlineLevel="1"/>
    <col min="24" max="24" width="7.28515625" style="15" customWidth="1"/>
    <col min="25" max="28" width="9.140625" style="15" customWidth="1" outlineLevel="1"/>
    <col min="29" max="29" width="9.140625" style="15" customWidth="1"/>
    <col min="30" max="30" width="9.140625" style="15" customWidth="1" outlineLevel="1"/>
    <col min="31" max="33" width="9.140625" style="15" customWidth="1"/>
    <col min="34" max="36" width="9.140625" style="15" customWidth="1" outlineLevel="1"/>
    <col min="37" max="38" width="9.140625" style="15" customWidth="1"/>
    <col min="39" max="39" width="9.140625" style="15" customWidth="1" outlineLevel="1"/>
    <col min="40" max="40" width="9.140625" style="15" customWidth="1"/>
    <col min="41" max="41" width="9.140625" style="15" customWidth="1" outlineLevel="2"/>
    <col min="42" max="45" width="9.140625" style="15" customWidth="1" outlineLevel="1"/>
    <col min="46" max="46" width="9.140625" style="15" customWidth="1"/>
    <col min="47" max="47" width="9.140625" style="15" customWidth="1" outlineLevel="1"/>
    <col min="48" max="51" width="9.140625" style="15" customWidth="1"/>
    <col min="52" max="55" width="9.140625" style="15" customWidth="1" outlineLevel="1"/>
    <col min="56" max="56" width="9.140625" style="15" customWidth="1"/>
    <col min="57" max="57" width="9.140625" style="15" customWidth="1" outlineLevel="1"/>
    <col min="58" max="58" width="10" style="15" customWidth="1"/>
    <col min="59" max="61" width="9.140625" style="15" customWidth="1"/>
    <col min="62" max="65" width="9.140625" style="15" customWidth="1" outlineLevel="2"/>
    <col min="66" max="66" width="9.140625" style="15" customWidth="1"/>
    <col min="67" max="67" width="9.140625" style="15" customWidth="1" outlineLevel="1"/>
    <col min="68" max="71" width="9.140625" style="15" customWidth="1"/>
    <col min="72" max="72" width="10.7109375" style="15" customWidth="1" outlineLevel="1"/>
    <col min="73" max="74" width="9.140625" style="15" customWidth="1" outlineLevel="1"/>
    <col min="75" max="75" width="9.140625" style="15" customWidth="1"/>
    <col min="76" max="76" width="9.140625" style="15" customWidth="1" outlineLevel="1"/>
    <col min="77" max="78" width="9.140625" style="15" customWidth="1"/>
    <col min="79" max="79" width="9.140625" style="15" customWidth="1" outlineLevel="1"/>
    <col min="80" max="80" width="9.140625" style="15" customWidth="1"/>
    <col min="81" max="83" width="9.140625" style="15" customWidth="1" outlineLevel="1"/>
    <col min="84" max="84" width="9.140625" style="15" customWidth="1"/>
    <col min="85" max="85" width="9.140625" style="15" customWidth="1" outlineLevel="1"/>
    <col min="86" max="87" width="9.140625" style="15" customWidth="1"/>
    <col min="88" max="88" width="9.140625" style="15" customWidth="1" outlineLevel="1"/>
    <col min="89" max="89" width="9.140625" style="15" customWidth="1"/>
    <col min="90" max="91" width="9.140625" style="15" customWidth="1" outlineLevel="1"/>
    <col min="92" max="92" width="9.140625" style="15" customWidth="1"/>
    <col min="93" max="93" width="9.140625" style="15" customWidth="1" outlineLevel="1"/>
    <col min="94" max="98" width="9.140625" style="15" customWidth="1"/>
    <col min="99" max="99" width="22.42578125" style="15" customWidth="1"/>
    <col min="100" max="100" width="26" style="15" customWidth="1"/>
    <col min="101" max="104" width="9.140625" style="15" customWidth="1"/>
    <col min="105" max="277" width="9.140625" style="15"/>
    <col min="278" max="278" width="18.7109375" style="15" customWidth="1"/>
    <col min="279" max="279" width="18.140625" style="15" customWidth="1"/>
    <col min="280" max="280" width="8.7109375" style="15" customWidth="1"/>
    <col min="281" max="281" width="9.140625" style="15"/>
    <col min="282" max="282" width="9.140625" style="15" customWidth="1"/>
    <col min="283" max="283" width="27.28515625" style="15" customWidth="1"/>
    <col min="284" max="319" width="9.140625" style="15" customWidth="1"/>
    <col min="320" max="533" width="9.140625" style="15"/>
    <col min="534" max="534" width="18.7109375" style="15" customWidth="1"/>
    <col min="535" max="535" width="18.140625" style="15" customWidth="1"/>
    <col min="536" max="536" width="8.7109375" style="15" customWidth="1"/>
    <col min="537" max="537" width="9.140625" style="15"/>
    <col min="538" max="538" width="9.140625" style="15" customWidth="1"/>
    <col min="539" max="539" width="27.28515625" style="15" customWidth="1"/>
    <col min="540" max="575" width="9.140625" style="15" customWidth="1"/>
    <col min="576" max="789" width="9.140625" style="15"/>
    <col min="790" max="790" width="18.7109375" style="15" customWidth="1"/>
    <col min="791" max="791" width="18.140625" style="15" customWidth="1"/>
    <col min="792" max="792" width="8.7109375" style="15" customWidth="1"/>
    <col min="793" max="793" width="9.140625" style="15"/>
    <col min="794" max="794" width="9.140625" style="15" customWidth="1"/>
    <col min="795" max="795" width="27.28515625" style="15" customWidth="1"/>
    <col min="796" max="831" width="9.140625" style="15" customWidth="1"/>
    <col min="832" max="1045" width="9.140625" style="15"/>
    <col min="1046" max="1046" width="18.7109375" style="15" customWidth="1"/>
    <col min="1047" max="1047" width="18.140625" style="15" customWidth="1"/>
    <col min="1048" max="1048" width="8.7109375" style="15" customWidth="1"/>
    <col min="1049" max="1049" width="9.140625" style="15"/>
    <col min="1050" max="1050" width="9.140625" style="15" customWidth="1"/>
    <col min="1051" max="1051" width="27.28515625" style="15" customWidth="1"/>
    <col min="1052" max="1087" width="9.140625" style="15" customWidth="1"/>
    <col min="1088" max="1301" width="9.140625" style="15"/>
    <col min="1302" max="1302" width="18.7109375" style="15" customWidth="1"/>
    <col min="1303" max="1303" width="18.140625" style="15" customWidth="1"/>
    <col min="1304" max="1304" width="8.7109375" style="15" customWidth="1"/>
    <col min="1305" max="1305" width="9.140625" style="15"/>
    <col min="1306" max="1306" width="9.140625" style="15" customWidth="1"/>
    <col min="1307" max="1307" width="27.28515625" style="15" customWidth="1"/>
    <col min="1308" max="1343" width="9.140625" style="15" customWidth="1"/>
    <col min="1344" max="1557" width="9.140625" style="15"/>
    <col min="1558" max="1558" width="18.7109375" style="15" customWidth="1"/>
    <col min="1559" max="1559" width="18.140625" style="15" customWidth="1"/>
    <col min="1560" max="1560" width="8.7109375" style="15" customWidth="1"/>
    <col min="1561" max="1561" width="9.140625" style="15"/>
    <col min="1562" max="1562" width="9.140625" style="15" customWidth="1"/>
    <col min="1563" max="1563" width="27.28515625" style="15" customWidth="1"/>
    <col min="1564" max="1599" width="9.140625" style="15" customWidth="1"/>
    <col min="1600" max="1813" width="9.140625" style="15"/>
    <col min="1814" max="1814" width="18.7109375" style="15" customWidth="1"/>
    <col min="1815" max="1815" width="18.140625" style="15" customWidth="1"/>
    <col min="1816" max="1816" width="8.7109375" style="15" customWidth="1"/>
    <col min="1817" max="1817" width="9.140625" style="15"/>
    <col min="1818" max="1818" width="9.140625" style="15" customWidth="1"/>
    <col min="1819" max="1819" width="27.28515625" style="15" customWidth="1"/>
    <col min="1820" max="1855" width="9.140625" style="15" customWidth="1"/>
    <col min="1856" max="2069" width="9.140625" style="15"/>
    <col min="2070" max="2070" width="18.7109375" style="15" customWidth="1"/>
    <col min="2071" max="2071" width="18.140625" style="15" customWidth="1"/>
    <col min="2072" max="2072" width="8.7109375" style="15" customWidth="1"/>
    <col min="2073" max="2073" width="9.140625" style="15"/>
    <col min="2074" max="2074" width="9.140625" style="15" customWidth="1"/>
    <col min="2075" max="2075" width="27.28515625" style="15" customWidth="1"/>
    <col min="2076" max="2111" width="9.140625" style="15" customWidth="1"/>
    <col min="2112" max="2325" width="9.140625" style="15"/>
    <col min="2326" max="2326" width="18.7109375" style="15" customWidth="1"/>
    <col min="2327" max="2327" width="18.140625" style="15" customWidth="1"/>
    <col min="2328" max="2328" width="8.7109375" style="15" customWidth="1"/>
    <col min="2329" max="2329" width="9.140625" style="15"/>
    <col min="2330" max="2330" width="9.140625" style="15" customWidth="1"/>
    <col min="2331" max="2331" width="27.28515625" style="15" customWidth="1"/>
    <col min="2332" max="2367" width="9.140625" style="15" customWidth="1"/>
    <col min="2368" max="2581" width="9.140625" style="15"/>
    <col min="2582" max="2582" width="18.7109375" style="15" customWidth="1"/>
    <col min="2583" max="2583" width="18.140625" style="15" customWidth="1"/>
    <col min="2584" max="2584" width="8.7109375" style="15" customWidth="1"/>
    <col min="2585" max="2585" width="9.140625" style="15"/>
    <col min="2586" max="2586" width="9.140625" style="15" customWidth="1"/>
    <col min="2587" max="2587" width="27.28515625" style="15" customWidth="1"/>
    <col min="2588" max="2623" width="9.140625" style="15" customWidth="1"/>
    <col min="2624" max="2837" width="9.140625" style="15"/>
    <col min="2838" max="2838" width="18.7109375" style="15" customWidth="1"/>
    <col min="2839" max="2839" width="18.140625" style="15" customWidth="1"/>
    <col min="2840" max="2840" width="8.7109375" style="15" customWidth="1"/>
    <col min="2841" max="2841" width="9.140625" style="15"/>
    <col min="2842" max="2842" width="9.140625" style="15" customWidth="1"/>
    <col min="2843" max="2843" width="27.28515625" style="15" customWidth="1"/>
    <col min="2844" max="2879" width="9.140625" style="15" customWidth="1"/>
    <col min="2880" max="3093" width="9.140625" style="15"/>
    <col min="3094" max="3094" width="18.7109375" style="15" customWidth="1"/>
    <col min="3095" max="3095" width="18.140625" style="15" customWidth="1"/>
    <col min="3096" max="3096" width="8.7109375" style="15" customWidth="1"/>
    <col min="3097" max="3097" width="9.140625" style="15"/>
    <col min="3098" max="3098" width="9.140625" style="15" customWidth="1"/>
    <col min="3099" max="3099" width="27.28515625" style="15" customWidth="1"/>
    <col min="3100" max="3135" width="9.140625" style="15" customWidth="1"/>
    <col min="3136" max="3349" width="9.140625" style="15"/>
    <col min="3350" max="3350" width="18.7109375" style="15" customWidth="1"/>
    <col min="3351" max="3351" width="18.140625" style="15" customWidth="1"/>
    <col min="3352" max="3352" width="8.7109375" style="15" customWidth="1"/>
    <col min="3353" max="3353" width="9.140625" style="15"/>
    <col min="3354" max="3354" width="9.140625" style="15" customWidth="1"/>
    <col min="3355" max="3355" width="27.28515625" style="15" customWidth="1"/>
    <col min="3356" max="3391" width="9.140625" style="15" customWidth="1"/>
    <col min="3392" max="3605" width="9.140625" style="15"/>
    <col min="3606" max="3606" width="18.7109375" style="15" customWidth="1"/>
    <col min="3607" max="3607" width="18.140625" style="15" customWidth="1"/>
    <col min="3608" max="3608" width="8.7109375" style="15" customWidth="1"/>
    <col min="3609" max="3609" width="9.140625" style="15"/>
    <col min="3610" max="3610" width="9.140625" style="15" customWidth="1"/>
    <col min="3611" max="3611" width="27.28515625" style="15" customWidth="1"/>
    <col min="3612" max="3647" width="9.140625" style="15" customWidth="1"/>
    <col min="3648" max="3861" width="9.140625" style="15"/>
    <col min="3862" max="3862" width="18.7109375" style="15" customWidth="1"/>
    <col min="3863" max="3863" width="18.140625" style="15" customWidth="1"/>
    <col min="3864" max="3864" width="8.7109375" style="15" customWidth="1"/>
    <col min="3865" max="3865" width="9.140625" style="15"/>
    <col min="3866" max="3866" width="9.140625" style="15" customWidth="1"/>
    <col min="3867" max="3867" width="27.28515625" style="15" customWidth="1"/>
    <col min="3868" max="3903" width="9.140625" style="15" customWidth="1"/>
    <col min="3904" max="4117" width="9.140625" style="15"/>
    <col min="4118" max="4118" width="18.7109375" style="15" customWidth="1"/>
    <col min="4119" max="4119" width="18.140625" style="15" customWidth="1"/>
    <col min="4120" max="4120" width="8.7109375" style="15" customWidth="1"/>
    <col min="4121" max="4121" width="9.140625" style="15"/>
    <col min="4122" max="4122" width="9.140625" style="15" customWidth="1"/>
    <col min="4123" max="4123" width="27.28515625" style="15" customWidth="1"/>
    <col min="4124" max="4159" width="9.140625" style="15" customWidth="1"/>
    <col min="4160" max="4373" width="9.140625" style="15"/>
    <col min="4374" max="4374" width="18.7109375" style="15" customWidth="1"/>
    <col min="4375" max="4375" width="18.140625" style="15" customWidth="1"/>
    <col min="4376" max="4376" width="8.7109375" style="15" customWidth="1"/>
    <col min="4377" max="4377" width="9.140625" style="15"/>
    <col min="4378" max="4378" width="9.140625" style="15" customWidth="1"/>
    <col min="4379" max="4379" width="27.28515625" style="15" customWidth="1"/>
    <col min="4380" max="4415" width="9.140625" style="15" customWidth="1"/>
    <col min="4416" max="4629" width="9.140625" style="15"/>
    <col min="4630" max="4630" width="18.7109375" style="15" customWidth="1"/>
    <col min="4631" max="4631" width="18.140625" style="15" customWidth="1"/>
    <col min="4632" max="4632" width="8.7109375" style="15" customWidth="1"/>
    <col min="4633" max="4633" width="9.140625" style="15"/>
    <col min="4634" max="4634" width="9.140625" style="15" customWidth="1"/>
    <col min="4635" max="4635" width="27.28515625" style="15" customWidth="1"/>
    <col min="4636" max="4671" width="9.140625" style="15" customWidth="1"/>
    <col min="4672" max="4885" width="9.140625" style="15"/>
    <col min="4886" max="4886" width="18.7109375" style="15" customWidth="1"/>
    <col min="4887" max="4887" width="18.140625" style="15" customWidth="1"/>
    <col min="4888" max="4888" width="8.7109375" style="15" customWidth="1"/>
    <col min="4889" max="4889" width="9.140625" style="15"/>
    <col min="4890" max="4890" width="9.140625" style="15" customWidth="1"/>
    <col min="4891" max="4891" width="27.28515625" style="15" customWidth="1"/>
    <col min="4892" max="4927" width="9.140625" style="15" customWidth="1"/>
    <col min="4928" max="5141" width="9.140625" style="15"/>
    <col min="5142" max="5142" width="18.7109375" style="15" customWidth="1"/>
    <col min="5143" max="5143" width="18.140625" style="15" customWidth="1"/>
    <col min="5144" max="5144" width="8.7109375" style="15" customWidth="1"/>
    <col min="5145" max="5145" width="9.140625" style="15"/>
    <col min="5146" max="5146" width="9.140625" style="15" customWidth="1"/>
    <col min="5147" max="5147" width="27.28515625" style="15" customWidth="1"/>
    <col min="5148" max="5183" width="9.140625" style="15" customWidth="1"/>
    <col min="5184" max="5397" width="9.140625" style="15"/>
    <col min="5398" max="5398" width="18.7109375" style="15" customWidth="1"/>
    <col min="5399" max="5399" width="18.140625" style="15" customWidth="1"/>
    <col min="5400" max="5400" width="8.7109375" style="15" customWidth="1"/>
    <col min="5401" max="5401" width="9.140625" style="15"/>
    <col min="5402" max="5402" width="9.140625" style="15" customWidth="1"/>
    <col min="5403" max="5403" width="27.28515625" style="15" customWidth="1"/>
    <col min="5404" max="5439" width="9.140625" style="15" customWidth="1"/>
    <col min="5440" max="5653" width="9.140625" style="15"/>
    <col min="5654" max="5654" width="18.7109375" style="15" customWidth="1"/>
    <col min="5655" max="5655" width="18.140625" style="15" customWidth="1"/>
    <col min="5656" max="5656" width="8.7109375" style="15" customWidth="1"/>
    <col min="5657" max="5657" width="9.140625" style="15"/>
    <col min="5658" max="5658" width="9.140625" style="15" customWidth="1"/>
    <col min="5659" max="5659" width="27.28515625" style="15" customWidth="1"/>
    <col min="5660" max="5695" width="9.140625" style="15" customWidth="1"/>
    <col min="5696" max="5909" width="9.140625" style="15"/>
    <col min="5910" max="5910" width="18.7109375" style="15" customWidth="1"/>
    <col min="5911" max="5911" width="18.140625" style="15" customWidth="1"/>
    <col min="5912" max="5912" width="8.7109375" style="15" customWidth="1"/>
    <col min="5913" max="5913" width="9.140625" style="15"/>
    <col min="5914" max="5914" width="9.140625" style="15" customWidth="1"/>
    <col min="5915" max="5915" width="27.28515625" style="15" customWidth="1"/>
    <col min="5916" max="5951" width="9.140625" style="15" customWidth="1"/>
    <col min="5952" max="6165" width="9.140625" style="15"/>
    <col min="6166" max="6166" width="18.7109375" style="15" customWidth="1"/>
    <col min="6167" max="6167" width="18.140625" style="15" customWidth="1"/>
    <col min="6168" max="6168" width="8.7109375" style="15" customWidth="1"/>
    <col min="6169" max="6169" width="9.140625" style="15"/>
    <col min="6170" max="6170" width="9.140625" style="15" customWidth="1"/>
    <col min="6171" max="6171" width="27.28515625" style="15" customWidth="1"/>
    <col min="6172" max="6207" width="9.140625" style="15" customWidth="1"/>
    <col min="6208" max="6421" width="9.140625" style="15"/>
    <col min="6422" max="6422" width="18.7109375" style="15" customWidth="1"/>
    <col min="6423" max="6423" width="18.140625" style="15" customWidth="1"/>
    <col min="6424" max="6424" width="8.7109375" style="15" customWidth="1"/>
    <col min="6425" max="6425" width="9.140625" style="15"/>
    <col min="6426" max="6426" width="9.140625" style="15" customWidth="1"/>
    <col min="6427" max="6427" width="27.28515625" style="15" customWidth="1"/>
    <col min="6428" max="6463" width="9.140625" style="15" customWidth="1"/>
    <col min="6464" max="6677" width="9.140625" style="15"/>
    <col min="6678" max="6678" width="18.7109375" style="15" customWidth="1"/>
    <col min="6679" max="6679" width="18.140625" style="15" customWidth="1"/>
    <col min="6680" max="6680" width="8.7109375" style="15" customWidth="1"/>
    <col min="6681" max="6681" width="9.140625" style="15"/>
    <col min="6682" max="6682" width="9.140625" style="15" customWidth="1"/>
    <col min="6683" max="6683" width="27.28515625" style="15" customWidth="1"/>
    <col min="6684" max="6719" width="9.140625" style="15" customWidth="1"/>
    <col min="6720" max="6933" width="9.140625" style="15"/>
    <col min="6934" max="6934" width="18.7109375" style="15" customWidth="1"/>
    <col min="6935" max="6935" width="18.140625" style="15" customWidth="1"/>
    <col min="6936" max="6936" width="8.7109375" style="15" customWidth="1"/>
    <col min="6937" max="6937" width="9.140625" style="15"/>
    <col min="6938" max="6938" width="9.140625" style="15" customWidth="1"/>
    <col min="6939" max="6939" width="27.28515625" style="15" customWidth="1"/>
    <col min="6940" max="6975" width="9.140625" style="15" customWidth="1"/>
    <col min="6976" max="7189" width="9.140625" style="15"/>
    <col min="7190" max="7190" width="18.7109375" style="15" customWidth="1"/>
    <col min="7191" max="7191" width="18.140625" style="15" customWidth="1"/>
    <col min="7192" max="7192" width="8.7109375" style="15" customWidth="1"/>
    <col min="7193" max="7193" width="9.140625" style="15"/>
    <col min="7194" max="7194" width="9.140625" style="15" customWidth="1"/>
    <col min="7195" max="7195" width="27.28515625" style="15" customWidth="1"/>
    <col min="7196" max="7231" width="9.140625" style="15" customWidth="1"/>
    <col min="7232" max="7445" width="9.140625" style="15"/>
    <col min="7446" max="7446" width="18.7109375" style="15" customWidth="1"/>
    <col min="7447" max="7447" width="18.140625" style="15" customWidth="1"/>
    <col min="7448" max="7448" width="8.7109375" style="15" customWidth="1"/>
    <col min="7449" max="7449" width="9.140625" style="15"/>
    <col min="7450" max="7450" width="9.140625" style="15" customWidth="1"/>
    <col min="7451" max="7451" width="27.28515625" style="15" customWidth="1"/>
    <col min="7452" max="7487" width="9.140625" style="15" customWidth="1"/>
    <col min="7488" max="7701" width="9.140625" style="15"/>
    <col min="7702" max="7702" width="18.7109375" style="15" customWidth="1"/>
    <col min="7703" max="7703" width="18.140625" style="15" customWidth="1"/>
    <col min="7704" max="7704" width="8.7109375" style="15" customWidth="1"/>
    <col min="7705" max="7705" width="9.140625" style="15"/>
    <col min="7706" max="7706" width="9.140625" style="15" customWidth="1"/>
    <col min="7707" max="7707" width="27.28515625" style="15" customWidth="1"/>
    <col min="7708" max="7743" width="9.140625" style="15" customWidth="1"/>
    <col min="7744" max="7957" width="9.140625" style="15"/>
    <col min="7958" max="7958" width="18.7109375" style="15" customWidth="1"/>
    <col min="7959" max="7959" width="18.140625" style="15" customWidth="1"/>
    <col min="7960" max="7960" width="8.7109375" style="15" customWidth="1"/>
    <col min="7961" max="7961" width="9.140625" style="15"/>
    <col min="7962" max="7962" width="9.140625" style="15" customWidth="1"/>
    <col min="7963" max="7963" width="27.28515625" style="15" customWidth="1"/>
    <col min="7964" max="7999" width="9.140625" style="15" customWidth="1"/>
    <col min="8000" max="8213" width="9.140625" style="15"/>
    <col min="8214" max="8214" width="18.7109375" style="15" customWidth="1"/>
    <col min="8215" max="8215" width="18.140625" style="15" customWidth="1"/>
    <col min="8216" max="8216" width="8.7109375" style="15" customWidth="1"/>
    <col min="8217" max="8217" width="9.140625" style="15"/>
    <col min="8218" max="8218" width="9.140625" style="15" customWidth="1"/>
    <col min="8219" max="8219" width="27.28515625" style="15" customWidth="1"/>
    <col min="8220" max="8255" width="9.140625" style="15" customWidth="1"/>
    <col min="8256" max="8469" width="9.140625" style="15"/>
    <col min="8470" max="8470" width="18.7109375" style="15" customWidth="1"/>
    <col min="8471" max="8471" width="18.140625" style="15" customWidth="1"/>
    <col min="8472" max="8472" width="8.7109375" style="15" customWidth="1"/>
    <col min="8473" max="8473" width="9.140625" style="15"/>
    <col min="8474" max="8474" width="9.140625" style="15" customWidth="1"/>
    <col min="8475" max="8475" width="27.28515625" style="15" customWidth="1"/>
    <col min="8476" max="8511" width="9.140625" style="15" customWidth="1"/>
    <col min="8512" max="8725" width="9.140625" style="15"/>
    <col min="8726" max="8726" width="18.7109375" style="15" customWidth="1"/>
    <col min="8727" max="8727" width="18.140625" style="15" customWidth="1"/>
    <col min="8728" max="8728" width="8.7109375" style="15" customWidth="1"/>
    <col min="8729" max="8729" width="9.140625" style="15"/>
    <col min="8730" max="8730" width="9.140625" style="15" customWidth="1"/>
    <col min="8731" max="8731" width="27.28515625" style="15" customWidth="1"/>
    <col min="8732" max="8767" width="9.140625" style="15" customWidth="1"/>
    <col min="8768" max="8981" width="9.140625" style="15"/>
    <col min="8982" max="8982" width="18.7109375" style="15" customWidth="1"/>
    <col min="8983" max="8983" width="18.140625" style="15" customWidth="1"/>
    <col min="8984" max="8984" width="8.7109375" style="15" customWidth="1"/>
    <col min="8985" max="8985" width="9.140625" style="15"/>
    <col min="8986" max="8986" width="9.140625" style="15" customWidth="1"/>
    <col min="8987" max="8987" width="27.28515625" style="15" customWidth="1"/>
    <col min="8988" max="9023" width="9.140625" style="15" customWidth="1"/>
    <col min="9024" max="9237" width="9.140625" style="15"/>
    <col min="9238" max="9238" width="18.7109375" style="15" customWidth="1"/>
    <col min="9239" max="9239" width="18.140625" style="15" customWidth="1"/>
    <col min="9240" max="9240" width="8.7109375" style="15" customWidth="1"/>
    <col min="9241" max="9241" width="9.140625" style="15"/>
    <col min="9242" max="9242" width="9.140625" style="15" customWidth="1"/>
    <col min="9243" max="9243" width="27.28515625" style="15" customWidth="1"/>
    <col min="9244" max="9279" width="9.140625" style="15" customWidth="1"/>
    <col min="9280" max="9493" width="9.140625" style="15"/>
    <col min="9494" max="9494" width="18.7109375" style="15" customWidth="1"/>
    <col min="9495" max="9495" width="18.140625" style="15" customWidth="1"/>
    <col min="9496" max="9496" width="8.7109375" style="15" customWidth="1"/>
    <col min="9497" max="9497" width="9.140625" style="15"/>
    <col min="9498" max="9498" width="9.140625" style="15" customWidth="1"/>
    <col min="9499" max="9499" width="27.28515625" style="15" customWidth="1"/>
    <col min="9500" max="9535" width="9.140625" style="15" customWidth="1"/>
    <col min="9536" max="9749" width="9.140625" style="15"/>
    <col min="9750" max="9750" width="18.7109375" style="15" customWidth="1"/>
    <col min="9751" max="9751" width="18.140625" style="15" customWidth="1"/>
    <col min="9752" max="9752" width="8.7109375" style="15" customWidth="1"/>
    <col min="9753" max="9753" width="9.140625" style="15"/>
    <col min="9754" max="9754" width="9.140625" style="15" customWidth="1"/>
    <col min="9755" max="9755" width="27.28515625" style="15" customWidth="1"/>
    <col min="9756" max="9791" width="9.140625" style="15" customWidth="1"/>
    <col min="9792" max="10005" width="9.140625" style="15"/>
    <col min="10006" max="10006" width="18.7109375" style="15" customWidth="1"/>
    <col min="10007" max="10007" width="18.140625" style="15" customWidth="1"/>
    <col min="10008" max="10008" width="8.7109375" style="15" customWidth="1"/>
    <col min="10009" max="10009" width="9.140625" style="15"/>
    <col min="10010" max="10010" width="9.140625" style="15" customWidth="1"/>
    <col min="10011" max="10011" width="27.28515625" style="15" customWidth="1"/>
    <col min="10012" max="10047" width="9.140625" style="15" customWidth="1"/>
    <col min="10048" max="10261" width="9.140625" style="15"/>
    <col min="10262" max="10262" width="18.7109375" style="15" customWidth="1"/>
    <col min="10263" max="10263" width="18.140625" style="15" customWidth="1"/>
    <col min="10264" max="10264" width="8.7109375" style="15" customWidth="1"/>
    <col min="10265" max="10265" width="9.140625" style="15"/>
    <col min="10266" max="10266" width="9.140625" style="15" customWidth="1"/>
    <col min="10267" max="10267" width="27.28515625" style="15" customWidth="1"/>
    <col min="10268" max="10303" width="9.140625" style="15" customWidth="1"/>
    <col min="10304" max="10517" width="9.140625" style="15"/>
    <col min="10518" max="10518" width="18.7109375" style="15" customWidth="1"/>
    <col min="10519" max="10519" width="18.140625" style="15" customWidth="1"/>
    <col min="10520" max="10520" width="8.7109375" style="15" customWidth="1"/>
    <col min="10521" max="10521" width="9.140625" style="15"/>
    <col min="10522" max="10522" width="9.140625" style="15" customWidth="1"/>
    <col min="10523" max="10523" width="27.28515625" style="15" customWidth="1"/>
    <col min="10524" max="10559" width="9.140625" style="15" customWidth="1"/>
    <col min="10560" max="10773" width="9.140625" style="15"/>
    <col min="10774" max="10774" width="18.7109375" style="15" customWidth="1"/>
    <col min="10775" max="10775" width="18.140625" style="15" customWidth="1"/>
    <col min="10776" max="10776" width="8.7109375" style="15" customWidth="1"/>
    <col min="10777" max="10777" width="9.140625" style="15"/>
    <col min="10778" max="10778" width="9.140625" style="15" customWidth="1"/>
    <col min="10779" max="10779" width="27.28515625" style="15" customWidth="1"/>
    <col min="10780" max="10815" width="9.140625" style="15" customWidth="1"/>
    <col min="10816" max="11029" width="9.140625" style="15"/>
    <col min="11030" max="11030" width="18.7109375" style="15" customWidth="1"/>
    <col min="11031" max="11031" width="18.140625" style="15" customWidth="1"/>
    <col min="11032" max="11032" width="8.7109375" style="15" customWidth="1"/>
    <col min="11033" max="11033" width="9.140625" style="15"/>
    <col min="11034" max="11034" width="9.140625" style="15" customWidth="1"/>
    <col min="11035" max="11035" width="27.28515625" style="15" customWidth="1"/>
    <col min="11036" max="11071" width="9.140625" style="15" customWidth="1"/>
    <col min="11072" max="11285" width="9.140625" style="15"/>
    <col min="11286" max="11286" width="18.7109375" style="15" customWidth="1"/>
    <col min="11287" max="11287" width="18.140625" style="15" customWidth="1"/>
    <col min="11288" max="11288" width="8.7109375" style="15" customWidth="1"/>
    <col min="11289" max="11289" width="9.140625" style="15"/>
    <col min="11290" max="11290" width="9.140625" style="15" customWidth="1"/>
    <col min="11291" max="11291" width="27.28515625" style="15" customWidth="1"/>
    <col min="11292" max="11327" width="9.140625" style="15" customWidth="1"/>
    <col min="11328" max="11541" width="9.140625" style="15"/>
    <col min="11542" max="11542" width="18.7109375" style="15" customWidth="1"/>
    <col min="11543" max="11543" width="18.140625" style="15" customWidth="1"/>
    <col min="11544" max="11544" width="8.7109375" style="15" customWidth="1"/>
    <col min="11545" max="11545" width="9.140625" style="15"/>
    <col min="11546" max="11546" width="9.140625" style="15" customWidth="1"/>
    <col min="11547" max="11547" width="27.28515625" style="15" customWidth="1"/>
    <col min="11548" max="11583" width="9.140625" style="15" customWidth="1"/>
    <col min="11584" max="11797" width="9.140625" style="15"/>
    <col min="11798" max="11798" width="18.7109375" style="15" customWidth="1"/>
    <col min="11799" max="11799" width="18.140625" style="15" customWidth="1"/>
    <col min="11800" max="11800" width="8.7109375" style="15" customWidth="1"/>
    <col min="11801" max="11801" width="9.140625" style="15"/>
    <col min="11802" max="11802" width="9.140625" style="15" customWidth="1"/>
    <col min="11803" max="11803" width="27.28515625" style="15" customWidth="1"/>
    <col min="11804" max="11839" width="9.140625" style="15" customWidth="1"/>
    <col min="11840" max="12053" width="9.140625" style="15"/>
    <col min="12054" max="12054" width="18.7109375" style="15" customWidth="1"/>
    <col min="12055" max="12055" width="18.140625" style="15" customWidth="1"/>
    <col min="12056" max="12056" width="8.7109375" style="15" customWidth="1"/>
    <col min="12057" max="12057" width="9.140625" style="15"/>
    <col min="12058" max="12058" width="9.140625" style="15" customWidth="1"/>
    <col min="12059" max="12059" width="27.28515625" style="15" customWidth="1"/>
    <col min="12060" max="12095" width="9.140625" style="15" customWidth="1"/>
    <col min="12096" max="12309" width="9.140625" style="15"/>
    <col min="12310" max="12310" width="18.7109375" style="15" customWidth="1"/>
    <col min="12311" max="12311" width="18.140625" style="15" customWidth="1"/>
    <col min="12312" max="12312" width="8.7109375" style="15" customWidth="1"/>
    <col min="12313" max="12313" width="9.140625" style="15"/>
    <col min="12314" max="12314" width="9.140625" style="15" customWidth="1"/>
    <col min="12315" max="12315" width="27.28515625" style="15" customWidth="1"/>
    <col min="12316" max="12351" width="9.140625" style="15" customWidth="1"/>
    <col min="12352" max="12565" width="9.140625" style="15"/>
    <col min="12566" max="12566" width="18.7109375" style="15" customWidth="1"/>
    <col min="12567" max="12567" width="18.140625" style="15" customWidth="1"/>
    <col min="12568" max="12568" width="8.7109375" style="15" customWidth="1"/>
    <col min="12569" max="12569" width="9.140625" style="15"/>
    <col min="12570" max="12570" width="9.140625" style="15" customWidth="1"/>
    <col min="12571" max="12571" width="27.28515625" style="15" customWidth="1"/>
    <col min="12572" max="12607" width="9.140625" style="15" customWidth="1"/>
    <col min="12608" max="12821" width="9.140625" style="15"/>
    <col min="12822" max="12822" width="18.7109375" style="15" customWidth="1"/>
    <col min="12823" max="12823" width="18.140625" style="15" customWidth="1"/>
    <col min="12824" max="12824" width="8.7109375" style="15" customWidth="1"/>
    <col min="12825" max="12825" width="9.140625" style="15"/>
    <col min="12826" max="12826" width="9.140625" style="15" customWidth="1"/>
    <col min="12827" max="12827" width="27.28515625" style="15" customWidth="1"/>
    <col min="12828" max="12863" width="9.140625" style="15" customWidth="1"/>
    <col min="12864" max="13077" width="9.140625" style="15"/>
    <col min="13078" max="13078" width="18.7109375" style="15" customWidth="1"/>
    <col min="13079" max="13079" width="18.140625" style="15" customWidth="1"/>
    <col min="13080" max="13080" width="8.7109375" style="15" customWidth="1"/>
    <col min="13081" max="13081" width="9.140625" style="15"/>
    <col min="13082" max="13082" width="9.140625" style="15" customWidth="1"/>
    <col min="13083" max="13083" width="27.28515625" style="15" customWidth="1"/>
    <col min="13084" max="13119" width="9.140625" style="15" customWidth="1"/>
    <col min="13120" max="13333" width="9.140625" style="15"/>
    <col min="13334" max="13334" width="18.7109375" style="15" customWidth="1"/>
    <col min="13335" max="13335" width="18.140625" style="15" customWidth="1"/>
    <col min="13336" max="13336" width="8.7109375" style="15" customWidth="1"/>
    <col min="13337" max="13337" width="9.140625" style="15"/>
    <col min="13338" max="13338" width="9.140625" style="15" customWidth="1"/>
    <col min="13339" max="13339" width="27.28515625" style="15" customWidth="1"/>
    <col min="13340" max="13375" width="9.140625" style="15" customWidth="1"/>
    <col min="13376" max="13589" width="9.140625" style="15"/>
    <col min="13590" max="13590" width="18.7109375" style="15" customWidth="1"/>
    <col min="13591" max="13591" width="18.140625" style="15" customWidth="1"/>
    <col min="13592" max="13592" width="8.7109375" style="15" customWidth="1"/>
    <col min="13593" max="13593" width="9.140625" style="15"/>
    <col min="13594" max="13594" width="9.140625" style="15" customWidth="1"/>
    <col min="13595" max="13595" width="27.28515625" style="15" customWidth="1"/>
    <col min="13596" max="13631" width="9.140625" style="15" customWidth="1"/>
    <col min="13632" max="13845" width="9.140625" style="15"/>
    <col min="13846" max="13846" width="18.7109375" style="15" customWidth="1"/>
    <col min="13847" max="13847" width="18.140625" style="15" customWidth="1"/>
    <col min="13848" max="13848" width="8.7109375" style="15" customWidth="1"/>
    <col min="13849" max="13849" width="9.140625" style="15"/>
    <col min="13850" max="13850" width="9.140625" style="15" customWidth="1"/>
    <col min="13851" max="13851" width="27.28515625" style="15" customWidth="1"/>
    <col min="13852" max="13887" width="9.140625" style="15" customWidth="1"/>
    <col min="13888" max="14101" width="9.140625" style="15"/>
    <col min="14102" max="14102" width="18.7109375" style="15" customWidth="1"/>
    <col min="14103" max="14103" width="18.140625" style="15" customWidth="1"/>
    <col min="14104" max="14104" width="8.7109375" style="15" customWidth="1"/>
    <col min="14105" max="14105" width="9.140625" style="15"/>
    <col min="14106" max="14106" width="9.140625" style="15" customWidth="1"/>
    <col min="14107" max="14107" width="27.28515625" style="15" customWidth="1"/>
    <col min="14108" max="14143" width="9.140625" style="15" customWidth="1"/>
    <col min="14144" max="14357" width="9.140625" style="15"/>
    <col min="14358" max="14358" width="18.7109375" style="15" customWidth="1"/>
    <col min="14359" max="14359" width="18.140625" style="15" customWidth="1"/>
    <col min="14360" max="14360" width="8.7109375" style="15" customWidth="1"/>
    <col min="14361" max="14361" width="9.140625" style="15"/>
    <col min="14362" max="14362" width="9.140625" style="15" customWidth="1"/>
    <col min="14363" max="14363" width="27.28515625" style="15" customWidth="1"/>
    <col min="14364" max="14399" width="9.140625" style="15" customWidth="1"/>
    <col min="14400" max="14613" width="9.140625" style="15"/>
    <col min="14614" max="14614" width="18.7109375" style="15" customWidth="1"/>
    <col min="14615" max="14615" width="18.140625" style="15" customWidth="1"/>
    <col min="14616" max="14616" width="8.7109375" style="15" customWidth="1"/>
    <col min="14617" max="14617" width="9.140625" style="15"/>
    <col min="14618" max="14618" width="9.140625" style="15" customWidth="1"/>
    <col min="14619" max="14619" width="27.28515625" style="15" customWidth="1"/>
    <col min="14620" max="14655" width="9.140625" style="15" customWidth="1"/>
    <col min="14656" max="14869" width="9.140625" style="15"/>
    <col min="14870" max="14870" width="18.7109375" style="15" customWidth="1"/>
    <col min="14871" max="14871" width="18.140625" style="15" customWidth="1"/>
    <col min="14872" max="14872" width="8.7109375" style="15" customWidth="1"/>
    <col min="14873" max="14873" width="9.140625" style="15"/>
    <col min="14874" max="14874" width="9.140625" style="15" customWidth="1"/>
    <col min="14875" max="14875" width="27.28515625" style="15" customWidth="1"/>
    <col min="14876" max="14911" width="9.140625" style="15" customWidth="1"/>
    <col min="14912" max="15125" width="9.140625" style="15"/>
    <col min="15126" max="15126" width="18.7109375" style="15" customWidth="1"/>
    <col min="15127" max="15127" width="18.140625" style="15" customWidth="1"/>
    <col min="15128" max="15128" width="8.7109375" style="15" customWidth="1"/>
    <col min="15129" max="15129" width="9.140625" style="15"/>
    <col min="15130" max="15130" width="9.140625" style="15" customWidth="1"/>
    <col min="15131" max="15131" width="27.28515625" style="15" customWidth="1"/>
    <col min="15132" max="15167" width="9.140625" style="15" customWidth="1"/>
    <col min="15168" max="15381" width="9.140625" style="15"/>
    <col min="15382" max="15382" width="18.7109375" style="15" customWidth="1"/>
    <col min="15383" max="15383" width="18.140625" style="15" customWidth="1"/>
    <col min="15384" max="15384" width="8.7109375" style="15" customWidth="1"/>
    <col min="15385" max="15385" width="9.140625" style="15"/>
    <col min="15386" max="15386" width="9.140625" style="15" customWidth="1"/>
    <col min="15387" max="15387" width="27.28515625" style="15" customWidth="1"/>
    <col min="15388" max="15423" width="9.140625" style="15" customWidth="1"/>
    <col min="15424" max="15637" width="9.140625" style="15"/>
    <col min="15638" max="15638" width="18.7109375" style="15" customWidth="1"/>
    <col min="15639" max="15639" width="18.140625" style="15" customWidth="1"/>
    <col min="15640" max="15640" width="8.7109375" style="15" customWidth="1"/>
    <col min="15641" max="15641" width="9.140625" style="15"/>
    <col min="15642" max="15642" width="9.140625" style="15" customWidth="1"/>
    <col min="15643" max="15643" width="27.28515625" style="15" customWidth="1"/>
    <col min="15644" max="15679" width="9.140625" style="15" customWidth="1"/>
    <col min="15680" max="15893" width="9.140625" style="15"/>
    <col min="15894" max="15894" width="18.7109375" style="15" customWidth="1"/>
    <col min="15895" max="15895" width="18.140625" style="15" customWidth="1"/>
    <col min="15896" max="15896" width="8.7109375" style="15" customWidth="1"/>
    <col min="15897" max="15897" width="9.140625" style="15"/>
    <col min="15898" max="15898" width="9.140625" style="15" customWidth="1"/>
    <col min="15899" max="15899" width="27.28515625" style="15" customWidth="1"/>
    <col min="15900" max="15935" width="9.140625" style="15" customWidth="1"/>
    <col min="15936" max="16149" width="9.140625" style="15"/>
    <col min="16150" max="16150" width="18.7109375" style="15" customWidth="1"/>
    <col min="16151" max="16151" width="18.140625" style="15" customWidth="1"/>
    <col min="16152" max="16152" width="8.7109375" style="15" customWidth="1"/>
    <col min="16153" max="16153" width="9.140625" style="15"/>
    <col min="16154" max="16154" width="9.140625" style="15" customWidth="1"/>
    <col min="16155" max="16155" width="27.28515625" style="15" customWidth="1"/>
    <col min="16156" max="16191" width="9.140625" style="15" customWidth="1"/>
    <col min="16192" max="16384" width="9.140625" style="15"/>
  </cols>
  <sheetData>
    <row r="1" spans="1:104" ht="21" customHeight="1" x14ac:dyDescent="0.25">
      <c r="C1" s="670" t="str">
        <f>НазваниеПолное</f>
        <v>Ралли "Западные ворота - 2017"</v>
      </c>
      <c r="D1" s="670"/>
      <c r="E1" s="670"/>
      <c r="F1" s="670"/>
      <c r="G1" s="670"/>
      <c r="CV1" s="284"/>
      <c r="CW1" s="284"/>
      <c r="CX1" s="284"/>
      <c r="CY1" s="284"/>
      <c r="CZ1" s="284"/>
    </row>
    <row r="2" spans="1:104" ht="21" x14ac:dyDescent="0.25">
      <c r="C2" s="672" t="s">
        <v>222</v>
      </c>
      <c r="D2" s="672"/>
      <c r="E2" s="672"/>
      <c r="F2" s="672"/>
      <c r="G2" s="672"/>
      <c r="CU2" s="284"/>
      <c r="CV2" s="284"/>
      <c r="CW2" s="284"/>
      <c r="CX2" s="284"/>
      <c r="CY2" s="284"/>
      <c r="CZ2" s="284"/>
    </row>
    <row r="3" spans="1:104" ht="9" customHeight="1" x14ac:dyDescent="0.25"/>
    <row r="4" spans="1:104" ht="18.75" x14ac:dyDescent="0.3">
      <c r="A4" s="104"/>
      <c r="B4" s="105"/>
      <c r="C4" s="695" t="s">
        <v>1</v>
      </c>
      <c r="D4" s="696"/>
      <c r="E4" s="696"/>
      <c r="F4" s="696"/>
      <c r="G4" s="696"/>
      <c r="H4" s="696"/>
      <c r="I4" s="697"/>
      <c r="J4" s="695" t="s">
        <v>71</v>
      </c>
      <c r="K4" s="697"/>
      <c r="L4" s="265" t="str">
        <f>КВ0</f>
        <v>КВ-0 Старт</v>
      </c>
      <c r="M4" s="698" t="s">
        <v>368</v>
      </c>
      <c r="N4" s="699"/>
      <c r="O4" s="695" t="str">
        <f>КВ1&amp;" (отсутствует)"</f>
        <v>КВ-1 Борщевик (отсутствует)</v>
      </c>
      <c r="P4" s="696"/>
      <c r="Q4" s="696"/>
      <c r="R4" s="697"/>
      <c r="S4" s="698" t="s">
        <v>368</v>
      </c>
      <c r="T4" s="699"/>
      <c r="U4" s="695" t="str">
        <f>КВ2</f>
        <v>КВ-2 ПКАД</v>
      </c>
      <c r="V4" s="696"/>
      <c r="W4" s="696"/>
      <c r="X4" s="696"/>
      <c r="Y4" s="698" t="s">
        <v>368</v>
      </c>
      <c r="Z4" s="699"/>
      <c r="AA4" s="695" t="str">
        <f>КВ3</f>
        <v>КВ-3 Финиш</v>
      </c>
      <c r="AB4" s="696"/>
      <c r="AC4" s="696"/>
      <c r="AD4" s="696"/>
      <c r="AE4" s="696"/>
      <c r="AF4" s="695" t="str">
        <f>ВКП1</f>
        <v>ВКП-1</v>
      </c>
      <c r="AG4" s="697"/>
      <c r="AH4" s="695" t="str">
        <f>ВКВ1</f>
        <v>ВКВ-1</v>
      </c>
      <c r="AI4" s="696"/>
      <c r="AJ4" s="696"/>
      <c r="AK4" s="696"/>
      <c r="AL4" s="696"/>
      <c r="AM4" s="696"/>
      <c r="AN4" s="697"/>
      <c r="AO4" s="700" t="str">
        <f>ДС1</f>
        <v>ДС-1 РД</v>
      </c>
      <c r="AP4" s="701"/>
      <c r="AQ4" s="701"/>
      <c r="AR4" s="701"/>
      <c r="AS4" s="701"/>
      <c r="AT4" s="701"/>
      <c r="AU4" s="701"/>
      <c r="AV4" s="701"/>
      <c r="AW4" s="702"/>
      <c r="AX4" s="700" t="str">
        <f>ДС2</f>
        <v>ДС-2 РУ</v>
      </c>
      <c r="AY4" s="701"/>
      <c r="AZ4" s="701"/>
      <c r="BA4" s="701"/>
      <c r="BB4" s="701"/>
      <c r="BC4" s="701"/>
      <c r="BD4" s="701"/>
      <c r="BE4" s="701"/>
      <c r="BF4" s="701"/>
      <c r="BG4" s="702"/>
      <c r="BH4" s="700" t="str">
        <f>ДС3</f>
        <v>ДС-3 РУ</v>
      </c>
      <c r="BI4" s="701"/>
      <c r="BJ4" s="701"/>
      <c r="BK4" s="701"/>
      <c r="BL4" s="701"/>
      <c r="BM4" s="701"/>
      <c r="BN4" s="701"/>
      <c r="BO4" s="701"/>
      <c r="BP4" s="701"/>
      <c r="BQ4" s="702"/>
      <c r="BR4" s="700" t="str">
        <f>ДС4</f>
        <v>ДС-4 РД</v>
      </c>
      <c r="BS4" s="701"/>
      <c r="BT4" s="701"/>
      <c r="BU4" s="701"/>
      <c r="BV4" s="701"/>
      <c r="BW4" s="701"/>
      <c r="BX4" s="701"/>
      <c r="BY4" s="701"/>
      <c r="BZ4" s="702"/>
      <c r="CA4" s="700" t="str">
        <f>ДС5</f>
        <v>ДС-5 РД</v>
      </c>
      <c r="CB4" s="701"/>
      <c r="CC4" s="701"/>
      <c r="CD4" s="701"/>
      <c r="CE4" s="701"/>
      <c r="CF4" s="701"/>
      <c r="CG4" s="701"/>
      <c r="CH4" s="701"/>
      <c r="CI4" s="702"/>
      <c r="CJ4" s="700" t="str">
        <f>ДС6</f>
        <v>ДС-6 СЛ</v>
      </c>
      <c r="CK4" s="701"/>
      <c r="CL4" s="701"/>
      <c r="CM4" s="701"/>
      <c r="CN4" s="701"/>
      <c r="CO4" s="701"/>
      <c r="CP4" s="701"/>
      <c r="CQ4" s="701"/>
      <c r="CR4" s="701"/>
      <c r="CS4" s="701"/>
      <c r="CT4" s="702"/>
      <c r="CU4" s="700" t="s">
        <v>52</v>
      </c>
      <c r="CV4" s="701"/>
      <c r="CW4" s="701"/>
      <c r="CX4" s="702"/>
      <c r="CY4" s="700" t="s">
        <v>378</v>
      </c>
      <c r="CZ4" s="702"/>
    </row>
    <row r="5" spans="1:104" s="438" customFormat="1" ht="108" x14ac:dyDescent="0.2">
      <c r="A5" s="428" t="s">
        <v>18</v>
      </c>
      <c r="B5" s="429" t="s">
        <v>19</v>
      </c>
      <c r="C5" s="421" t="s">
        <v>177</v>
      </c>
      <c r="D5" s="422" t="s">
        <v>20</v>
      </c>
      <c r="E5" s="422" t="s">
        <v>21</v>
      </c>
      <c r="F5" s="422" t="s">
        <v>22</v>
      </c>
      <c r="G5" s="422" t="s">
        <v>23</v>
      </c>
      <c r="H5" s="430" t="s">
        <v>212</v>
      </c>
      <c r="I5" s="431" t="s">
        <v>51</v>
      </c>
      <c r="J5" s="432" t="s">
        <v>125</v>
      </c>
      <c r="K5" s="424" t="s">
        <v>72</v>
      </c>
      <c r="L5" s="433" t="s">
        <v>366</v>
      </c>
      <c r="M5" s="434" t="s">
        <v>34</v>
      </c>
      <c r="N5" s="424" t="s">
        <v>213</v>
      </c>
      <c r="O5" s="421" t="s">
        <v>122</v>
      </c>
      <c r="P5" s="422" t="s">
        <v>366</v>
      </c>
      <c r="Q5" s="422" t="s">
        <v>214</v>
      </c>
      <c r="R5" s="423" t="s">
        <v>25</v>
      </c>
      <c r="S5" s="421" t="s">
        <v>34</v>
      </c>
      <c r="T5" s="439" t="s">
        <v>369</v>
      </c>
      <c r="U5" s="425" t="s">
        <v>122</v>
      </c>
      <c r="V5" s="426" t="s">
        <v>366</v>
      </c>
      <c r="W5" s="426" t="s">
        <v>214</v>
      </c>
      <c r="X5" s="423" t="s">
        <v>25</v>
      </c>
      <c r="Y5" s="421" t="s">
        <v>34</v>
      </c>
      <c r="Z5" s="424" t="s">
        <v>369</v>
      </c>
      <c r="AA5" s="425" t="s">
        <v>421</v>
      </c>
      <c r="AB5" s="422" t="s">
        <v>211</v>
      </c>
      <c r="AC5" s="426" t="s">
        <v>366</v>
      </c>
      <c r="AD5" s="426" t="s">
        <v>214</v>
      </c>
      <c r="AE5" s="423" t="s">
        <v>25</v>
      </c>
      <c r="AF5" s="421" t="s">
        <v>383</v>
      </c>
      <c r="AG5" s="431" t="s">
        <v>25</v>
      </c>
      <c r="AH5" s="421" t="s">
        <v>34</v>
      </c>
      <c r="AI5" s="422" t="s">
        <v>211</v>
      </c>
      <c r="AJ5" s="422" t="s">
        <v>122</v>
      </c>
      <c r="AK5" s="422" t="s">
        <v>366</v>
      </c>
      <c r="AL5" s="422" t="s">
        <v>367</v>
      </c>
      <c r="AM5" s="422" t="s">
        <v>24</v>
      </c>
      <c r="AN5" s="431" t="s">
        <v>25</v>
      </c>
      <c r="AO5" s="271" t="s">
        <v>375</v>
      </c>
      <c r="AP5" s="269" t="s">
        <v>91</v>
      </c>
      <c r="AQ5" s="269" t="s">
        <v>92</v>
      </c>
      <c r="AR5" s="269" t="s">
        <v>124</v>
      </c>
      <c r="AS5" s="269" t="s">
        <v>27</v>
      </c>
      <c r="AT5" s="269" t="s">
        <v>28</v>
      </c>
      <c r="AU5" s="269" t="s">
        <v>29</v>
      </c>
      <c r="AV5" s="269" t="s">
        <v>371</v>
      </c>
      <c r="AW5" s="435" t="s">
        <v>25</v>
      </c>
      <c r="AX5" s="271" t="s">
        <v>375</v>
      </c>
      <c r="AY5" s="269" t="s">
        <v>91</v>
      </c>
      <c r="AZ5" s="269" t="s">
        <v>92</v>
      </c>
      <c r="BA5" s="269" t="s">
        <v>376</v>
      </c>
      <c r="BB5" s="269" t="s">
        <v>124</v>
      </c>
      <c r="BC5" s="269" t="s">
        <v>27</v>
      </c>
      <c r="BD5" s="269" t="s">
        <v>28</v>
      </c>
      <c r="BE5" s="269" t="s">
        <v>29</v>
      </c>
      <c r="BF5" s="269" t="s">
        <v>26</v>
      </c>
      <c r="BG5" s="435" t="s">
        <v>25</v>
      </c>
      <c r="BH5" s="271" t="s">
        <v>375</v>
      </c>
      <c r="BI5" s="269" t="s">
        <v>91</v>
      </c>
      <c r="BJ5" s="269" t="s">
        <v>92</v>
      </c>
      <c r="BK5" s="269" t="s">
        <v>376</v>
      </c>
      <c r="BL5" s="269" t="s">
        <v>124</v>
      </c>
      <c r="BM5" s="269" t="s">
        <v>27</v>
      </c>
      <c r="BN5" s="269" t="s">
        <v>28</v>
      </c>
      <c r="BO5" s="269" t="s">
        <v>29</v>
      </c>
      <c r="BP5" s="269" t="s">
        <v>26</v>
      </c>
      <c r="BQ5" s="435" t="s">
        <v>25</v>
      </c>
      <c r="BR5" s="271" t="s">
        <v>375</v>
      </c>
      <c r="BS5" s="269" t="s">
        <v>91</v>
      </c>
      <c r="BT5" s="269" t="s">
        <v>92</v>
      </c>
      <c r="BU5" s="269" t="s">
        <v>124</v>
      </c>
      <c r="BV5" s="269" t="s">
        <v>27</v>
      </c>
      <c r="BW5" s="269" t="s">
        <v>28</v>
      </c>
      <c r="BX5" s="269" t="s">
        <v>29</v>
      </c>
      <c r="BY5" s="269" t="s">
        <v>371</v>
      </c>
      <c r="BZ5" s="435" t="s">
        <v>25</v>
      </c>
      <c r="CA5" s="271" t="s">
        <v>375</v>
      </c>
      <c r="CB5" s="269" t="s">
        <v>91</v>
      </c>
      <c r="CC5" s="269" t="s">
        <v>92</v>
      </c>
      <c r="CD5" s="269" t="s">
        <v>124</v>
      </c>
      <c r="CE5" s="269" t="s">
        <v>27</v>
      </c>
      <c r="CF5" s="269" t="s">
        <v>28</v>
      </c>
      <c r="CG5" s="269" t="s">
        <v>29</v>
      </c>
      <c r="CH5" s="269" t="s">
        <v>371</v>
      </c>
      <c r="CI5" s="435" t="s">
        <v>25</v>
      </c>
      <c r="CJ5" s="271" t="s">
        <v>375</v>
      </c>
      <c r="CK5" s="269" t="s">
        <v>50</v>
      </c>
      <c r="CL5" s="269" t="s">
        <v>121</v>
      </c>
      <c r="CM5" s="269" t="s">
        <v>370</v>
      </c>
      <c r="CN5" s="269" t="s">
        <v>380</v>
      </c>
      <c r="CO5" s="269" t="s">
        <v>123</v>
      </c>
      <c r="CP5" s="269" t="s">
        <v>371</v>
      </c>
      <c r="CQ5" s="269" t="s">
        <v>373</v>
      </c>
      <c r="CR5" s="269" t="s">
        <v>372</v>
      </c>
      <c r="CS5" s="269" t="s">
        <v>374</v>
      </c>
      <c r="CT5" s="435" t="s">
        <v>25</v>
      </c>
      <c r="CU5" s="271" t="s">
        <v>28</v>
      </c>
      <c r="CV5" s="269" t="s">
        <v>377</v>
      </c>
      <c r="CW5" s="436" t="s">
        <v>188</v>
      </c>
      <c r="CX5" s="437" t="s">
        <v>25</v>
      </c>
      <c r="CY5" s="436" t="s">
        <v>379</v>
      </c>
      <c r="CZ5" s="437" t="s">
        <v>25</v>
      </c>
    </row>
    <row r="6" spans="1:104" x14ac:dyDescent="0.25">
      <c r="A6" s="427">
        <f t="shared" ref="A6:A22" si="0">_xlfn.RANK.EQ(I6,$I$6:$I$22,1)</f>
        <v>1</v>
      </c>
      <c r="B6" s="122">
        <v>3</v>
      </c>
      <c r="C6" s="123" t="s">
        <v>144</v>
      </c>
      <c r="D6" s="123" t="s">
        <v>128</v>
      </c>
      <c r="E6" s="123" t="s">
        <v>145</v>
      </c>
      <c r="F6" s="123" t="s">
        <v>146</v>
      </c>
      <c r="G6" s="122" t="s">
        <v>31</v>
      </c>
      <c r="H6" s="124"/>
      <c r="I6" s="450">
        <f>SUM(J6:J6)+SUM(CX6:CX6)+SUM(CZ6:CZ6)+SUM(R6:R6)+SUM(X6:X6)+SUM(AE6:AE6)+SUM(AG6:AG6)+SUM(AN6:AN6)+SUM(AW6:AW6)+SUM(BG6:BG6)+SUM(BQ6:BQ6)+SUM(BZ6:BZ6)+SUM(CI6:CI6)+SUM(CT6:CT6)</f>
        <v>4181</v>
      </c>
      <c r="J6" s="281"/>
      <c r="K6" s="138"/>
      <c r="L6" s="264">
        <v>0.41875000000000001</v>
      </c>
      <c r="M6" s="258">
        <f t="shared" ref="M6:M34" si="1">КВ1Время</f>
        <v>105</v>
      </c>
      <c r="N6" s="279">
        <f t="shared" ref="N6:N34" si="2">AQ6+AZ6</f>
        <v>0</v>
      </c>
      <c r="O6" s="259">
        <f t="shared" ref="O6:O34" si="3">L6+M6/1440</f>
        <v>0.4916666666666667</v>
      </c>
      <c r="P6" s="263">
        <f t="shared" ref="P6:P34" si="4">O6</f>
        <v>0.4916666666666667</v>
      </c>
      <c r="Q6" s="128">
        <f t="shared" ref="Q6:Q34" si="5">IF(NOT(ISBLANK(P6)),ROUND((P6-O6)*1440,0),"")</f>
        <v>0</v>
      </c>
      <c r="R6" s="266">
        <f t="shared" ref="R6:R34" si="6">IF(NOT(ISBLANK(P6)),ABS(IF(O6&gt;P6,IF(Q6=-1,0,Q6*ШтрафОпережениеНаКВ),IF(Q6&gt;N6,(Q6-N6)*ШтрафОпозданиеНаКВ,0))),ШтрафПропускКВ)</f>
        <v>0</v>
      </c>
      <c r="S6" s="136">
        <f t="shared" ref="S6:S34" si="7">КВ2Время</f>
        <v>140</v>
      </c>
      <c r="T6" s="280">
        <f t="shared" ref="T6:T34" si="8">BJ6+BT6</f>
        <v>0</v>
      </c>
      <c r="U6" s="260">
        <f t="shared" ref="U6:U34" si="9">IF(NOT(ISBLANK(P6)),P6+S6/1440,O6+S6/1440)</f>
        <v>0.58888888888888891</v>
      </c>
      <c r="V6" s="261">
        <v>0.59027777777777779</v>
      </c>
      <c r="W6" s="262">
        <f t="shared" ref="W6:W34" si="10">IF(NOT(ISBLANK(V6)),ROUND((V6-U6)*1440,0),"")</f>
        <v>2</v>
      </c>
      <c r="X6" s="267">
        <f t="shared" ref="X6:X34" si="11">IF(NOT(ISBLANK(V6)),ABS(IF(U6&gt;V6,IF(W6=-1,0,W6*ШтрафОпережениеНаКВ),IF(W6&gt;T6,(W6-T6)*ШтрафОпозданиеНаКВ,0))),ШтрафПропускКВ)</f>
        <v>120</v>
      </c>
      <c r="Y6" s="136">
        <f t="shared" ref="Y6:Y34" si="12">КВ3Время</f>
        <v>95</v>
      </c>
      <c r="Z6" s="280">
        <f t="shared" ref="Z6:Z34" si="13">CC6</f>
        <v>0</v>
      </c>
      <c r="AA6" s="260">
        <f t="shared" ref="AA6:AA34" si="14">IF(NOT(ISBLANK(CB6)),CB6+Y6/1440,U6+Y6/1440)</f>
        <v>0.65763888888888888</v>
      </c>
      <c r="AB6" s="128">
        <f t="shared" ref="AB6:AB34" si="15">ROUNDUP(Y6/10,0)</f>
        <v>10</v>
      </c>
      <c r="AC6" s="261">
        <v>0.67291666666666661</v>
      </c>
      <c r="AD6" s="262">
        <f t="shared" ref="AD6:AD34" si="16">IF(NOT(ISBLANK(AC6)),ROUND((AC6-AA6)*1440,0),"")</f>
        <v>22</v>
      </c>
      <c r="AE6" s="266">
        <f t="shared" ref="AE6:AE34" si="17">IF(NOT(ISBLANK(AC6)),ABS(IF(AA6&gt;AC6,IF(-AD6&lt;=AB6,0,AD6*ШтрафОпережениеНаКВ),IF(AD6&gt;Z6,(AD6-Z6)*ШтрафОпозданиеНаКВ,0))),ШтрафПропускКВ)</f>
        <v>1320</v>
      </c>
      <c r="AF6" s="261" t="s">
        <v>430</v>
      </c>
      <c r="AG6" s="266">
        <f t="shared" ref="AG6:AG34" si="18">IF(NOT(ISBLANK(AF6)),0,ШтрафПропускКП)</f>
        <v>0</v>
      </c>
      <c r="AH6" s="136">
        <f t="shared" ref="AH6:AH34" si="19">ROUNDDOWN(ВКВ1Расстояние/КВ2Скорость*60,0)</f>
        <v>0</v>
      </c>
      <c r="AI6" s="128">
        <f t="shared" ref="AI6:AI34" si="20">ROUNDUP(AH6/10,0)</f>
        <v>0</v>
      </c>
      <c r="AJ6" s="129">
        <f t="shared" ref="AJ6:AJ34" si="21">IF(NOT(ISBLANK(P6)),P6+AH6/1440,O6+AH6/1440)</f>
        <v>0.4916666666666667</v>
      </c>
      <c r="AK6" s="137">
        <v>0.4916666666666667</v>
      </c>
      <c r="AL6" s="134"/>
      <c r="AM6" s="128">
        <f t="shared" ref="AM6:AM34" si="22">ROUND((AK6-AJ6)*1440,0)</f>
        <v>0</v>
      </c>
      <c r="AN6" s="268">
        <f t="shared" ref="AN6:AN34" si="23">IF(NOT(ISBLANK(AK6)),IF(AM6&gt;=0,0,IF(-AM6&lt;=AI6,0,-(AM6+AI6)*ШтрафОпережениеНаВКВ))+IF(NOT(ISBLANK(AL6)),ШтрафОтсутсвиеОтметкиНаВКВ,0),"!!!ВРУЧНУЮ!!!")</f>
        <v>0</v>
      </c>
      <c r="AO6" s="278"/>
      <c r="AP6" s="103">
        <f t="shared" ref="AP6:AP34" si="24">L6</f>
        <v>0.41875000000000001</v>
      </c>
      <c r="AQ6" s="132">
        <f t="shared" ref="AQ6:AQ34" si="25">IF(ISBLANK(AO6),0,ROUND((AP6-AO6)*1440,0))</f>
        <v>0</v>
      </c>
      <c r="AR6" s="128">
        <f t="shared" ref="AR6:AR34" si="26">ДС1Время</f>
        <v>2503</v>
      </c>
      <c r="AS6" s="103">
        <f t="shared" ref="AS6:AS34" si="27">AP6+AR6/86400</f>
        <v>0.44771990740740741</v>
      </c>
      <c r="AT6" s="135">
        <v>0.45287037037037042</v>
      </c>
      <c r="AU6" s="133">
        <f t="shared" ref="AU6:AU34" si="28">ROUND((AT6-AS6)*86400,0)</f>
        <v>445</v>
      </c>
      <c r="AV6" s="134"/>
      <c r="AW6" s="270">
        <f>IF(NOT(OR(ISBLANK(AP6),ISBLANK(AT6))),ABS(AU6)*ШтрафОпережениеОтставаниеНаРД+IF(ISBLANK(AV6),0,ШтрафФальстартНаДС),"!!!ВРУЧНУЮ!!!")</f>
        <v>445</v>
      </c>
      <c r="AX6" s="127"/>
      <c r="AY6" s="130">
        <v>0.4777777777777778</v>
      </c>
      <c r="AZ6" s="132">
        <f t="shared" ref="AZ6:AZ34" si="29">IF(ISBLANK(AX6),0,ROUND((AY6-AX6)*1440,0))</f>
        <v>0</v>
      </c>
      <c r="BA6" s="128">
        <f t="shared" ref="BA6:BA34" si="30">ДС2Мин</f>
        <v>409</v>
      </c>
      <c r="BB6" s="128">
        <f t="shared" ref="BB6:BB34" si="31">ДС2Время</f>
        <v>570</v>
      </c>
      <c r="BC6" s="103">
        <f t="shared" ref="BC6:BC34" si="32">AY6+BB6/86400</f>
        <v>0.484375</v>
      </c>
      <c r="BD6" s="135">
        <v>0.48356481481481484</v>
      </c>
      <c r="BE6" s="133">
        <f t="shared" ref="BE6:BE34" si="33">ROUND((BD6-BC6)*86400,0)</f>
        <v>-70</v>
      </c>
      <c r="BF6" s="134"/>
      <c r="BG6" s="270">
        <f t="shared" ref="BG6:BG34" si="34">IF(NOT(OR(ISBLANK(AY6),ISBLANK(BD6))),IF(BE6&lt;0,IF(-BE6&lt;=BB6-BA6,0,ШтрафОпережениеНаРУ),BE6*ШтрафОтставаниеНаРУ)+IF(ISBLANK(BF6),0,ШтрафФальстартНаДС),"!!!ВРУЧНУЮ!!!")</f>
        <v>0</v>
      </c>
      <c r="BH6" s="127"/>
      <c r="BI6" s="130"/>
      <c r="BJ6" s="132">
        <f t="shared" ref="BJ6:BJ34" si="35">IF(ISBLANK(BH6),0,ROUND((BI6-BH6)*1440,0))</f>
        <v>0</v>
      </c>
      <c r="BK6" s="128">
        <f t="shared" ref="BK6:BK34" si="36">ДС3Мин</f>
        <v>455</v>
      </c>
      <c r="BL6" s="128">
        <f t="shared" ref="BL6:BL34" si="37">ДС3Время</f>
        <v>670</v>
      </c>
      <c r="BM6" s="103">
        <f t="shared" ref="BM6:BM34" si="38">BI6+BL6/86400</f>
        <v>7.7546296296296295E-3</v>
      </c>
      <c r="BN6" s="442">
        <v>0.52400462962962957</v>
      </c>
      <c r="BO6" s="133">
        <f t="shared" ref="BO6:BO34" si="39">ROUND((BN6-BM6)*86400,0)</f>
        <v>44604</v>
      </c>
      <c r="BP6" s="134"/>
      <c r="BQ6" s="441">
        <f>BQ19*1.1</f>
        <v>11</v>
      </c>
      <c r="BR6" s="127"/>
      <c r="BS6" s="130">
        <v>0.55555555555555558</v>
      </c>
      <c r="BT6" s="132">
        <f t="shared" ref="BT6:BT34" si="40">IF(ISBLANK(BR6),0,ROUND((BS6-BR6)*1440,0))</f>
        <v>0</v>
      </c>
      <c r="BU6" s="128">
        <f t="shared" ref="BU6:BU34" si="41">ДС4Время</f>
        <v>1936</v>
      </c>
      <c r="BV6" s="103">
        <f t="shared" ref="BV6:BV34" si="42">BS6+BU6/86400</f>
        <v>0.57796296296296301</v>
      </c>
      <c r="BW6" s="135">
        <v>0.57155092592592593</v>
      </c>
      <c r="BX6" s="133">
        <f t="shared" ref="BX6:BX34" si="43">ROUND((BW6-BV6)*86400,0)</f>
        <v>-554</v>
      </c>
      <c r="BY6" s="134"/>
      <c r="BZ6" s="270">
        <f t="shared" ref="BZ6:BZ24" si="44">IF(NOT(OR(ISBLANK(BS6),ISBLANK(BW6))),ABS(BX6)*ШтрафОпережениеОтставаниеНаРД+IF(ISBLANK(BY6),0,ШтрафФальстартНаДС),"!!!ВРУЧНУЮ!!!")</f>
        <v>554</v>
      </c>
      <c r="CA6" s="278"/>
      <c r="CB6" s="130">
        <v>0.59166666666666667</v>
      </c>
      <c r="CC6" s="132">
        <f t="shared" ref="CC6:CC34" si="45">IF(ISBLANK(CA6),0,ROUND((CB6-CA6)*1440,0))</f>
        <v>0</v>
      </c>
      <c r="CD6" s="128">
        <f t="shared" ref="CD6:CD34" si="46">ДС5Время</f>
        <v>1899</v>
      </c>
      <c r="CE6" s="103">
        <f t="shared" ref="CE6:CE34" si="47">CB6+CD6/86400</f>
        <v>0.61364583333333333</v>
      </c>
      <c r="CF6" s="135">
        <v>0.61383101851851851</v>
      </c>
      <c r="CG6" s="133">
        <f t="shared" ref="CG6:CG34" si="48">ROUND((CF6-CE6)*86400,0)</f>
        <v>16</v>
      </c>
      <c r="CH6" s="134"/>
      <c r="CI6" s="270">
        <f t="shared" ref="CI6:CI12" si="49">IF(NOT(OR(ISBLANK(CB6),ISBLANK(CF6))),ABS(CG6)*ШтрафОпережениеОтставаниеНаРД+IF(ISBLANK(CH6),0,ШтрафФальстартНаДС),"!!!ВРУЧНУЮ!!!")</f>
        <v>16</v>
      </c>
      <c r="CJ6" s="278"/>
      <c r="CK6" s="263">
        <f t="shared" ref="CK6:CK34" si="50">AC6</f>
        <v>0.67291666666666661</v>
      </c>
      <c r="CL6" s="132">
        <f t="shared" ref="CL6:CL34" si="51">IF(ISBLANK(CJ6),0,ROUND((CK6-CJ6)*1440,0))</f>
        <v>0</v>
      </c>
      <c r="CM6" s="131">
        <v>60</v>
      </c>
      <c r="CN6" s="440">
        <v>99.47</v>
      </c>
      <c r="CO6" s="147">
        <f t="shared" ref="CO6:CO34" si="52">ROUND(CN6-CM6,1)</f>
        <v>39.5</v>
      </c>
      <c r="CP6" s="134"/>
      <c r="CQ6" s="134"/>
      <c r="CR6" s="134"/>
      <c r="CS6" s="134"/>
      <c r="CT6" s="270">
        <f t="shared" ref="CT6:CT34" si="53">IF(NOT(ISBLANK(CK6)),(CO6+IF(ISBLANK(CP6),0,ШтрафФальстартНаДС)+CQ6*ШтрафСбитыйКонусНаСЛ+IF(ISBLANK(CR6),0,ШтрафНеостановкаБазойНаСЛ)+CS6*ШтрафПроездСЛНеПоСхеме)*СЛКоэффициент,"!!!ВРУЧНУЮ!!!")</f>
        <v>395</v>
      </c>
      <c r="CU6" s="125" t="s">
        <v>572</v>
      </c>
      <c r="CV6" s="126" t="s">
        <v>569</v>
      </c>
      <c r="CW6" s="283">
        <v>11</v>
      </c>
      <c r="CX6" s="282">
        <f t="shared" ref="CX6:CX34" si="54">CW6*ШтрафБуква</f>
        <v>1320</v>
      </c>
      <c r="CY6" s="283">
        <v>0</v>
      </c>
      <c r="CZ6" s="282">
        <f t="shared" ref="CZ6:CZ34" si="55">CY6*ШтрафВскрытыйКонверт</f>
        <v>0</v>
      </c>
    </row>
    <row r="7" spans="1:104" x14ac:dyDescent="0.25">
      <c r="A7" s="427">
        <f t="shared" si="0"/>
        <v>2</v>
      </c>
      <c r="B7" s="122">
        <v>33</v>
      </c>
      <c r="C7" s="123" t="s">
        <v>563</v>
      </c>
      <c r="D7" s="123" t="s">
        <v>564</v>
      </c>
      <c r="E7" s="123" t="s">
        <v>565</v>
      </c>
      <c r="F7" s="123" t="s">
        <v>566</v>
      </c>
      <c r="G7" s="122" t="s">
        <v>31</v>
      </c>
      <c r="H7" s="124"/>
      <c r="I7" s="450">
        <f t="shared" ref="I7:I34" si="56">SUM(J7:J7)+SUM(CX7:CX7)+SUM(CZ7:CZ7)+SUM(R7:R7)+SUM(X7:X7)+SUM(AE7:AE7)+SUM(AG7:AG7)+SUM(AN7:AN7)+SUM(AW7:AW7)+SUM(BG7:BG7)+SUM(BQ7:BQ7)+SUM(BZ7:BZ7)+SUM(CI7:CI7)+SUM(CT7:CT7)</f>
        <v>5200.8999999999996</v>
      </c>
      <c r="J7" s="281"/>
      <c r="K7" s="138"/>
      <c r="L7" s="264">
        <v>0.43888888888888888</v>
      </c>
      <c r="M7" s="258">
        <f t="shared" si="1"/>
        <v>105</v>
      </c>
      <c r="N7" s="279">
        <f t="shared" si="2"/>
        <v>0</v>
      </c>
      <c r="O7" s="259">
        <f t="shared" si="3"/>
        <v>0.51180555555555551</v>
      </c>
      <c r="P7" s="263">
        <f t="shared" si="4"/>
        <v>0.51180555555555551</v>
      </c>
      <c r="Q7" s="128">
        <f t="shared" si="5"/>
        <v>0</v>
      </c>
      <c r="R7" s="266">
        <f t="shared" si="6"/>
        <v>0</v>
      </c>
      <c r="S7" s="136">
        <f t="shared" si="7"/>
        <v>140</v>
      </c>
      <c r="T7" s="280">
        <f t="shared" si="8"/>
        <v>2</v>
      </c>
      <c r="U7" s="260">
        <f t="shared" si="9"/>
        <v>0.60902777777777772</v>
      </c>
      <c r="V7" s="261">
        <v>0.61041666666666672</v>
      </c>
      <c r="W7" s="262">
        <f t="shared" si="10"/>
        <v>2</v>
      </c>
      <c r="X7" s="267">
        <f t="shared" si="11"/>
        <v>0</v>
      </c>
      <c r="Y7" s="136">
        <f t="shared" si="12"/>
        <v>95</v>
      </c>
      <c r="Z7" s="280">
        <f t="shared" si="13"/>
        <v>0</v>
      </c>
      <c r="AA7" s="260">
        <f t="shared" si="14"/>
        <v>0.67777777777777781</v>
      </c>
      <c r="AB7" s="128">
        <f t="shared" si="15"/>
        <v>10</v>
      </c>
      <c r="AC7" s="261">
        <v>0.68472222222222223</v>
      </c>
      <c r="AD7" s="262">
        <f t="shared" si="16"/>
        <v>10</v>
      </c>
      <c r="AE7" s="266">
        <f t="shared" si="17"/>
        <v>600</v>
      </c>
      <c r="AF7" s="261" t="s">
        <v>430</v>
      </c>
      <c r="AG7" s="266">
        <f t="shared" si="18"/>
        <v>0</v>
      </c>
      <c r="AH7" s="136">
        <f t="shared" si="19"/>
        <v>0</v>
      </c>
      <c r="AI7" s="128">
        <f t="shared" si="20"/>
        <v>0</v>
      </c>
      <c r="AJ7" s="129">
        <f t="shared" si="21"/>
        <v>0.51180555555555551</v>
      </c>
      <c r="AK7" s="137">
        <v>0.51250000000000007</v>
      </c>
      <c r="AL7" s="134"/>
      <c r="AM7" s="128">
        <f t="shared" si="22"/>
        <v>1</v>
      </c>
      <c r="AN7" s="268">
        <f t="shared" si="23"/>
        <v>0</v>
      </c>
      <c r="AO7" s="278"/>
      <c r="AP7" s="103">
        <f t="shared" si="24"/>
        <v>0.43888888888888888</v>
      </c>
      <c r="AQ7" s="132">
        <f t="shared" si="25"/>
        <v>0</v>
      </c>
      <c r="AR7" s="128">
        <f t="shared" si="26"/>
        <v>2503</v>
      </c>
      <c r="AS7" s="103">
        <f t="shared" si="27"/>
        <v>0.46785879629629629</v>
      </c>
      <c r="AT7" s="135"/>
      <c r="AU7" s="133">
        <f t="shared" si="28"/>
        <v>-40423</v>
      </c>
      <c r="AV7" s="134"/>
      <c r="AW7" s="441">
        <f>$AW$14*1.1</f>
        <v>735.90000000000009</v>
      </c>
      <c r="AX7" s="127"/>
      <c r="AY7" s="130">
        <v>0.4916666666666667</v>
      </c>
      <c r="AZ7" s="132">
        <f t="shared" si="29"/>
        <v>0</v>
      </c>
      <c r="BA7" s="128">
        <f t="shared" si="30"/>
        <v>409</v>
      </c>
      <c r="BB7" s="128">
        <f t="shared" si="31"/>
        <v>570</v>
      </c>
      <c r="BC7" s="103">
        <f t="shared" si="32"/>
        <v>0.4982638888888889</v>
      </c>
      <c r="BD7" s="135">
        <v>0.49834490740740739</v>
      </c>
      <c r="BE7" s="133">
        <f t="shared" si="33"/>
        <v>7</v>
      </c>
      <c r="BF7" s="134"/>
      <c r="BG7" s="270">
        <f t="shared" si="34"/>
        <v>7</v>
      </c>
      <c r="BH7" s="127">
        <v>0.54375000000000007</v>
      </c>
      <c r="BI7" s="130">
        <v>0.54513888888888895</v>
      </c>
      <c r="BJ7" s="132">
        <f t="shared" si="35"/>
        <v>2</v>
      </c>
      <c r="BK7" s="128">
        <f t="shared" si="36"/>
        <v>455</v>
      </c>
      <c r="BL7" s="128">
        <f t="shared" si="37"/>
        <v>670</v>
      </c>
      <c r="BM7" s="103">
        <f t="shared" si="38"/>
        <v>0.55289351851851853</v>
      </c>
      <c r="BN7" s="135">
        <v>0.55249999999999999</v>
      </c>
      <c r="BO7" s="133">
        <f t="shared" si="39"/>
        <v>-34</v>
      </c>
      <c r="BP7" s="134"/>
      <c r="BQ7" s="270">
        <f t="shared" ref="BQ7:BQ34" si="57">IF(NOT(OR(ISBLANK(BI7),ISBLANK(BN7))),IF(BO7&lt;0,IF(-BO7&lt;=BL7-BK7,0,ШтрафОпережениеНаРУ),BO7*ШтрафОтставаниеНаРУ)+IF(ISBLANK(BP7),0,ШтрафФальстартНаДС),"!!!ВРУЧНУЮ!!!")</f>
        <v>0</v>
      </c>
      <c r="BR7" s="127"/>
      <c r="BS7" s="130">
        <v>0.57916666666666672</v>
      </c>
      <c r="BT7" s="132">
        <f t="shared" si="40"/>
        <v>0</v>
      </c>
      <c r="BU7" s="128">
        <f t="shared" si="41"/>
        <v>1936</v>
      </c>
      <c r="BV7" s="103">
        <f t="shared" si="42"/>
        <v>0.60157407407407415</v>
      </c>
      <c r="BW7" s="135">
        <v>0.59184027777777781</v>
      </c>
      <c r="BX7" s="133">
        <f t="shared" si="43"/>
        <v>-841</v>
      </c>
      <c r="BY7" s="134"/>
      <c r="BZ7" s="270">
        <f t="shared" si="44"/>
        <v>841</v>
      </c>
      <c r="CA7" s="278"/>
      <c r="CB7" s="130">
        <v>0.6118055555555556</v>
      </c>
      <c r="CC7" s="132">
        <f t="shared" si="45"/>
        <v>0</v>
      </c>
      <c r="CD7" s="128">
        <f t="shared" si="46"/>
        <v>1899</v>
      </c>
      <c r="CE7" s="103">
        <f t="shared" si="47"/>
        <v>0.63378472222222226</v>
      </c>
      <c r="CF7" s="135">
        <v>0.64493055555555556</v>
      </c>
      <c r="CG7" s="133">
        <f t="shared" si="48"/>
        <v>963</v>
      </c>
      <c r="CH7" s="134"/>
      <c r="CI7" s="270">
        <f t="shared" si="49"/>
        <v>963</v>
      </c>
      <c r="CJ7" s="278"/>
      <c r="CK7" s="263">
        <f t="shared" si="50"/>
        <v>0.68472222222222223</v>
      </c>
      <c r="CL7" s="132">
        <f t="shared" si="51"/>
        <v>0</v>
      </c>
      <c r="CM7" s="131">
        <v>60</v>
      </c>
      <c r="CN7" s="440">
        <v>121.4</v>
      </c>
      <c r="CO7" s="147">
        <f t="shared" si="52"/>
        <v>61.4</v>
      </c>
      <c r="CP7" s="134"/>
      <c r="CQ7" s="134"/>
      <c r="CR7" s="134"/>
      <c r="CS7" s="134"/>
      <c r="CT7" s="270">
        <f t="shared" si="53"/>
        <v>614</v>
      </c>
      <c r="CU7" s="125" t="s">
        <v>596</v>
      </c>
      <c r="CV7" s="126" t="s">
        <v>569</v>
      </c>
      <c r="CW7" s="283">
        <v>12</v>
      </c>
      <c r="CX7" s="282">
        <f t="shared" si="54"/>
        <v>1440</v>
      </c>
      <c r="CY7" s="283">
        <v>0</v>
      </c>
      <c r="CZ7" s="282">
        <f t="shared" si="55"/>
        <v>0</v>
      </c>
    </row>
    <row r="8" spans="1:104" x14ac:dyDescent="0.25">
      <c r="A8" s="427">
        <f t="shared" si="0"/>
        <v>3</v>
      </c>
      <c r="B8" s="122">
        <v>2</v>
      </c>
      <c r="C8" s="123" t="s">
        <v>167</v>
      </c>
      <c r="D8" s="123" t="s">
        <v>436</v>
      </c>
      <c r="E8" s="123" t="s">
        <v>169</v>
      </c>
      <c r="F8" s="123" t="s">
        <v>171</v>
      </c>
      <c r="G8" s="122" t="s">
        <v>31</v>
      </c>
      <c r="H8" s="124"/>
      <c r="I8" s="450">
        <f t="shared" si="56"/>
        <v>5232</v>
      </c>
      <c r="J8" s="281"/>
      <c r="K8" s="138"/>
      <c r="L8" s="264">
        <v>0.41805555555555557</v>
      </c>
      <c r="M8" s="258">
        <f t="shared" si="1"/>
        <v>105</v>
      </c>
      <c r="N8" s="279">
        <f t="shared" si="2"/>
        <v>0</v>
      </c>
      <c r="O8" s="259">
        <f t="shared" si="3"/>
        <v>0.49097222222222225</v>
      </c>
      <c r="P8" s="263">
        <f t="shared" si="4"/>
        <v>0.49097222222222225</v>
      </c>
      <c r="Q8" s="128">
        <f t="shared" si="5"/>
        <v>0</v>
      </c>
      <c r="R8" s="266">
        <f t="shared" si="6"/>
        <v>0</v>
      </c>
      <c r="S8" s="136">
        <f t="shared" si="7"/>
        <v>140</v>
      </c>
      <c r="T8" s="280">
        <f t="shared" si="8"/>
        <v>2</v>
      </c>
      <c r="U8" s="260">
        <f t="shared" si="9"/>
        <v>0.58819444444444446</v>
      </c>
      <c r="V8" s="261">
        <v>0.59097222222222223</v>
      </c>
      <c r="W8" s="262">
        <f t="shared" si="10"/>
        <v>4</v>
      </c>
      <c r="X8" s="267">
        <f t="shared" si="11"/>
        <v>120</v>
      </c>
      <c r="Y8" s="136">
        <f t="shared" si="12"/>
        <v>95</v>
      </c>
      <c r="Z8" s="280">
        <f t="shared" si="13"/>
        <v>0</v>
      </c>
      <c r="AA8" s="260">
        <f t="shared" si="14"/>
        <v>0.65833333333333333</v>
      </c>
      <c r="AB8" s="128">
        <f t="shared" si="15"/>
        <v>10</v>
      </c>
      <c r="AC8" s="261">
        <v>0.66319444444444442</v>
      </c>
      <c r="AD8" s="262">
        <f t="shared" si="16"/>
        <v>7</v>
      </c>
      <c r="AE8" s="266">
        <f t="shared" si="17"/>
        <v>420</v>
      </c>
      <c r="AF8" s="261" t="s">
        <v>430</v>
      </c>
      <c r="AG8" s="266">
        <f t="shared" si="18"/>
        <v>0</v>
      </c>
      <c r="AH8" s="136">
        <f t="shared" si="19"/>
        <v>0</v>
      </c>
      <c r="AI8" s="128">
        <f t="shared" si="20"/>
        <v>0</v>
      </c>
      <c r="AJ8" s="129">
        <f t="shared" si="21"/>
        <v>0.49097222222222225</v>
      </c>
      <c r="AK8" s="137">
        <v>0.50138888888888888</v>
      </c>
      <c r="AL8" s="134"/>
      <c r="AM8" s="128">
        <f t="shared" si="22"/>
        <v>15</v>
      </c>
      <c r="AN8" s="268">
        <f t="shared" si="23"/>
        <v>0</v>
      </c>
      <c r="AO8" s="278"/>
      <c r="AP8" s="103">
        <f t="shared" si="24"/>
        <v>0.41805555555555557</v>
      </c>
      <c r="AQ8" s="132">
        <f t="shared" si="25"/>
        <v>0</v>
      </c>
      <c r="AR8" s="128">
        <f t="shared" si="26"/>
        <v>2503</v>
      </c>
      <c r="AS8" s="103">
        <f t="shared" si="27"/>
        <v>0.44702546296296297</v>
      </c>
      <c r="AT8" s="135">
        <v>0.44894675925925925</v>
      </c>
      <c r="AU8" s="133">
        <f t="shared" si="28"/>
        <v>166</v>
      </c>
      <c r="AV8" s="134"/>
      <c r="AW8" s="270">
        <f>IF(NOT(OR(ISBLANK(AP8),ISBLANK(AT8))),ABS(AU8)*ШтрафОпережениеОтставаниеНаРД+IF(ISBLANK(AV8),0,ШтрафФальстартНаДС),"!!!ВРУЧНУЮ!!!")</f>
        <v>166</v>
      </c>
      <c r="AX8" s="127"/>
      <c r="AY8" s="130">
        <v>0.4826388888888889</v>
      </c>
      <c r="AZ8" s="132">
        <f t="shared" si="29"/>
        <v>0</v>
      </c>
      <c r="BA8" s="128">
        <f t="shared" si="30"/>
        <v>409</v>
      </c>
      <c r="BB8" s="128">
        <f t="shared" si="31"/>
        <v>570</v>
      </c>
      <c r="BC8" s="103">
        <f t="shared" si="32"/>
        <v>0.48923611111111109</v>
      </c>
      <c r="BD8" s="135">
        <v>0.48825231481481479</v>
      </c>
      <c r="BE8" s="133">
        <f t="shared" si="33"/>
        <v>-85</v>
      </c>
      <c r="BF8" s="134"/>
      <c r="BG8" s="270">
        <f t="shared" si="34"/>
        <v>0</v>
      </c>
      <c r="BH8" s="127">
        <v>0.52986111111111112</v>
      </c>
      <c r="BI8" s="130">
        <v>0.53125</v>
      </c>
      <c r="BJ8" s="132">
        <f t="shared" si="35"/>
        <v>2</v>
      </c>
      <c r="BK8" s="128">
        <f t="shared" si="36"/>
        <v>455</v>
      </c>
      <c r="BL8" s="128">
        <f t="shared" si="37"/>
        <v>670</v>
      </c>
      <c r="BM8" s="103">
        <f t="shared" si="38"/>
        <v>0.53900462962962958</v>
      </c>
      <c r="BN8" s="135">
        <v>0.53785879629629629</v>
      </c>
      <c r="BO8" s="133">
        <f t="shared" si="39"/>
        <v>-99</v>
      </c>
      <c r="BP8" s="134"/>
      <c r="BQ8" s="270">
        <f t="shared" si="57"/>
        <v>0</v>
      </c>
      <c r="BR8" s="127"/>
      <c r="BS8" s="130">
        <v>0.56111111111111112</v>
      </c>
      <c r="BT8" s="132">
        <f t="shared" si="40"/>
        <v>0</v>
      </c>
      <c r="BU8" s="128">
        <f t="shared" si="41"/>
        <v>1936</v>
      </c>
      <c r="BV8" s="103">
        <f t="shared" si="42"/>
        <v>0.58351851851851855</v>
      </c>
      <c r="BW8" s="135">
        <v>0.57376157407407413</v>
      </c>
      <c r="BX8" s="133">
        <f t="shared" si="43"/>
        <v>-843</v>
      </c>
      <c r="BY8" s="134"/>
      <c r="BZ8" s="270">
        <f t="shared" si="44"/>
        <v>843</v>
      </c>
      <c r="CA8" s="278"/>
      <c r="CB8" s="130">
        <v>0.59236111111111112</v>
      </c>
      <c r="CC8" s="132">
        <f t="shared" si="45"/>
        <v>0</v>
      </c>
      <c r="CD8" s="128">
        <f t="shared" si="46"/>
        <v>1899</v>
      </c>
      <c r="CE8" s="103">
        <f t="shared" si="47"/>
        <v>0.61434027777777778</v>
      </c>
      <c r="CF8" s="135">
        <v>0.61664351851851851</v>
      </c>
      <c r="CG8" s="133">
        <f t="shared" si="48"/>
        <v>199</v>
      </c>
      <c r="CH8" s="134"/>
      <c r="CI8" s="270">
        <f t="shared" si="49"/>
        <v>199</v>
      </c>
      <c r="CJ8" s="278"/>
      <c r="CK8" s="263">
        <f t="shared" si="50"/>
        <v>0.66319444444444442</v>
      </c>
      <c r="CL8" s="132">
        <f t="shared" si="51"/>
        <v>0</v>
      </c>
      <c r="CM8" s="131">
        <v>60</v>
      </c>
      <c r="CN8" s="440">
        <v>136.38</v>
      </c>
      <c r="CO8" s="147">
        <f t="shared" si="52"/>
        <v>76.400000000000006</v>
      </c>
      <c r="CP8" s="134"/>
      <c r="CQ8" s="134"/>
      <c r="CR8" s="134"/>
      <c r="CS8" s="134">
        <v>2</v>
      </c>
      <c r="CT8" s="270">
        <f t="shared" si="53"/>
        <v>1164</v>
      </c>
      <c r="CU8" s="125" t="s">
        <v>571</v>
      </c>
      <c r="CV8" s="126" t="s">
        <v>569</v>
      </c>
      <c r="CW8" s="283">
        <v>11</v>
      </c>
      <c r="CX8" s="282">
        <f t="shared" si="54"/>
        <v>1320</v>
      </c>
      <c r="CY8" s="283">
        <v>1</v>
      </c>
      <c r="CZ8" s="282">
        <f t="shared" si="55"/>
        <v>1000</v>
      </c>
    </row>
    <row r="9" spans="1:104" x14ac:dyDescent="0.25">
      <c r="A9" s="427">
        <f t="shared" si="0"/>
        <v>4</v>
      </c>
      <c r="B9" s="122">
        <v>8</v>
      </c>
      <c r="C9" s="123" t="s">
        <v>455</v>
      </c>
      <c r="D9" s="123" t="s">
        <v>456</v>
      </c>
      <c r="E9" s="123" t="s">
        <v>458</v>
      </c>
      <c r="F9" s="123" t="s">
        <v>460</v>
      </c>
      <c r="G9" s="122" t="s">
        <v>31</v>
      </c>
      <c r="H9" s="124"/>
      <c r="I9" s="450">
        <f t="shared" si="56"/>
        <v>6053</v>
      </c>
      <c r="J9" s="281"/>
      <c r="K9" s="138"/>
      <c r="L9" s="264">
        <v>0.42222222222222222</v>
      </c>
      <c r="M9" s="258">
        <f t="shared" si="1"/>
        <v>105</v>
      </c>
      <c r="N9" s="279">
        <f t="shared" si="2"/>
        <v>0</v>
      </c>
      <c r="O9" s="259">
        <f t="shared" si="3"/>
        <v>0.49513888888888891</v>
      </c>
      <c r="P9" s="263">
        <f t="shared" si="4"/>
        <v>0.49513888888888891</v>
      </c>
      <c r="Q9" s="128">
        <f t="shared" si="5"/>
        <v>0</v>
      </c>
      <c r="R9" s="266">
        <f t="shared" si="6"/>
        <v>0</v>
      </c>
      <c r="S9" s="136">
        <f t="shared" si="7"/>
        <v>140</v>
      </c>
      <c r="T9" s="280">
        <f t="shared" si="8"/>
        <v>1</v>
      </c>
      <c r="U9" s="260">
        <f t="shared" si="9"/>
        <v>0.59236111111111112</v>
      </c>
      <c r="V9" s="261">
        <v>0.6</v>
      </c>
      <c r="W9" s="262">
        <f t="shared" si="10"/>
        <v>11</v>
      </c>
      <c r="X9" s="267">
        <f t="shared" si="11"/>
        <v>600</v>
      </c>
      <c r="Y9" s="136">
        <f t="shared" si="12"/>
        <v>95</v>
      </c>
      <c r="Z9" s="280">
        <f t="shared" si="13"/>
        <v>0</v>
      </c>
      <c r="AA9" s="260">
        <f t="shared" si="14"/>
        <v>0.66736111111111107</v>
      </c>
      <c r="AB9" s="128">
        <f t="shared" si="15"/>
        <v>10</v>
      </c>
      <c r="AC9" s="261">
        <v>0.67083333333333339</v>
      </c>
      <c r="AD9" s="262">
        <f t="shared" si="16"/>
        <v>5</v>
      </c>
      <c r="AE9" s="266">
        <f t="shared" si="17"/>
        <v>300</v>
      </c>
      <c r="AF9" s="261" t="s">
        <v>430</v>
      </c>
      <c r="AG9" s="266">
        <f t="shared" si="18"/>
        <v>0</v>
      </c>
      <c r="AH9" s="136">
        <f t="shared" si="19"/>
        <v>0</v>
      </c>
      <c r="AI9" s="128">
        <f t="shared" si="20"/>
        <v>0</v>
      </c>
      <c r="AJ9" s="129">
        <f t="shared" si="21"/>
        <v>0.49513888888888891</v>
      </c>
      <c r="AK9" s="137">
        <v>0.49374999999999997</v>
      </c>
      <c r="AL9" s="134"/>
      <c r="AM9" s="128">
        <f t="shared" si="22"/>
        <v>-2</v>
      </c>
      <c r="AN9" s="268">
        <f t="shared" si="23"/>
        <v>240</v>
      </c>
      <c r="AO9" s="278"/>
      <c r="AP9" s="103">
        <f t="shared" si="24"/>
        <v>0.42222222222222222</v>
      </c>
      <c r="AQ9" s="132">
        <f t="shared" si="25"/>
        <v>0</v>
      </c>
      <c r="AR9" s="128">
        <f t="shared" si="26"/>
        <v>2503</v>
      </c>
      <c r="AS9" s="103">
        <f t="shared" si="27"/>
        <v>0.45119212962962962</v>
      </c>
      <c r="AT9" s="135">
        <v>0.46582175925925928</v>
      </c>
      <c r="AU9" s="133">
        <f t="shared" si="28"/>
        <v>1264</v>
      </c>
      <c r="AV9" s="134"/>
      <c r="AW9" s="270">
        <f>IF(NOT(OR(ISBLANK(AP9),ISBLANK(AT9))),ABS(AU9)*ШтрафОпережениеОтставаниеНаРД+IF(ISBLANK(AV9),0,ШтрафФальстартНаДС),"!!!ВРУЧНУЮ!!!")</f>
        <v>1264</v>
      </c>
      <c r="AX9" s="127"/>
      <c r="AY9" s="130">
        <v>0.48125000000000001</v>
      </c>
      <c r="AZ9" s="132">
        <f t="shared" si="29"/>
        <v>0</v>
      </c>
      <c r="BA9" s="128">
        <f t="shared" si="30"/>
        <v>409</v>
      </c>
      <c r="BB9" s="128">
        <f t="shared" si="31"/>
        <v>570</v>
      </c>
      <c r="BC9" s="103">
        <f t="shared" si="32"/>
        <v>0.48784722222222221</v>
      </c>
      <c r="BD9" s="135">
        <v>0.48788194444444444</v>
      </c>
      <c r="BE9" s="133">
        <f t="shared" si="33"/>
        <v>3</v>
      </c>
      <c r="BF9" s="134"/>
      <c r="BG9" s="270">
        <f t="shared" si="34"/>
        <v>3</v>
      </c>
      <c r="BH9" s="127">
        <v>0.53749999999999998</v>
      </c>
      <c r="BI9" s="130">
        <v>0.53819444444444442</v>
      </c>
      <c r="BJ9" s="132">
        <f t="shared" si="35"/>
        <v>1</v>
      </c>
      <c r="BK9" s="128">
        <f t="shared" si="36"/>
        <v>455</v>
      </c>
      <c r="BL9" s="128">
        <f t="shared" si="37"/>
        <v>670</v>
      </c>
      <c r="BM9" s="103">
        <f t="shared" si="38"/>
        <v>0.545949074074074</v>
      </c>
      <c r="BN9" s="135">
        <v>0.54629629629629628</v>
      </c>
      <c r="BO9" s="133">
        <f t="shared" si="39"/>
        <v>30</v>
      </c>
      <c r="BP9" s="134"/>
      <c r="BQ9" s="270">
        <f t="shared" si="57"/>
        <v>30</v>
      </c>
      <c r="BR9" s="127"/>
      <c r="BS9" s="130">
        <v>0.56597222222222221</v>
      </c>
      <c r="BT9" s="132">
        <f t="shared" si="40"/>
        <v>0</v>
      </c>
      <c r="BU9" s="128">
        <f t="shared" si="41"/>
        <v>1936</v>
      </c>
      <c r="BV9" s="103">
        <f t="shared" si="42"/>
        <v>0.58837962962962964</v>
      </c>
      <c r="BW9" s="135">
        <v>0.58848379629629632</v>
      </c>
      <c r="BX9" s="133">
        <f t="shared" si="43"/>
        <v>9</v>
      </c>
      <c r="BY9" s="134"/>
      <c r="BZ9" s="270">
        <f t="shared" si="44"/>
        <v>9</v>
      </c>
      <c r="CA9" s="278"/>
      <c r="CB9" s="130">
        <v>0.60138888888888886</v>
      </c>
      <c r="CC9" s="132">
        <f t="shared" si="45"/>
        <v>0</v>
      </c>
      <c r="CD9" s="128">
        <f t="shared" si="46"/>
        <v>1899</v>
      </c>
      <c r="CE9" s="103">
        <f t="shared" si="47"/>
        <v>0.62336805555555552</v>
      </c>
      <c r="CF9" s="135">
        <v>0.63722222222222225</v>
      </c>
      <c r="CG9" s="133">
        <f t="shared" si="48"/>
        <v>1197</v>
      </c>
      <c r="CH9" s="134"/>
      <c r="CI9" s="270">
        <f t="shared" si="49"/>
        <v>1197</v>
      </c>
      <c r="CJ9" s="278"/>
      <c r="CK9" s="263">
        <f t="shared" si="50"/>
        <v>0.67083333333333339</v>
      </c>
      <c r="CL9" s="132">
        <f t="shared" si="51"/>
        <v>0</v>
      </c>
      <c r="CM9" s="131">
        <v>60</v>
      </c>
      <c r="CN9" s="440">
        <v>129</v>
      </c>
      <c r="CO9" s="147">
        <f t="shared" si="52"/>
        <v>69</v>
      </c>
      <c r="CP9" s="134"/>
      <c r="CQ9" s="134"/>
      <c r="CR9" s="134"/>
      <c r="CS9" s="134">
        <v>2</v>
      </c>
      <c r="CT9" s="270">
        <f t="shared" si="53"/>
        <v>1090</v>
      </c>
      <c r="CU9" s="125" t="s">
        <v>576</v>
      </c>
      <c r="CV9" s="126" t="s">
        <v>569</v>
      </c>
      <c r="CW9" s="283">
        <v>11</v>
      </c>
      <c r="CX9" s="282">
        <f t="shared" si="54"/>
        <v>1320</v>
      </c>
      <c r="CY9" s="283">
        <v>0</v>
      </c>
      <c r="CZ9" s="282">
        <f t="shared" si="55"/>
        <v>0</v>
      </c>
    </row>
    <row r="10" spans="1:104" x14ac:dyDescent="0.25">
      <c r="A10" s="427">
        <f t="shared" si="0"/>
        <v>5</v>
      </c>
      <c r="B10" s="122">
        <v>13</v>
      </c>
      <c r="C10" s="123" t="s">
        <v>474</v>
      </c>
      <c r="D10" s="123" t="s">
        <v>475</v>
      </c>
      <c r="E10" s="123" t="s">
        <v>477</v>
      </c>
      <c r="F10" s="123" t="s">
        <v>478</v>
      </c>
      <c r="G10" s="122" t="s">
        <v>31</v>
      </c>
      <c r="H10" s="124"/>
      <c r="I10" s="450">
        <f t="shared" si="56"/>
        <v>6636.9</v>
      </c>
      <c r="J10" s="281"/>
      <c r="K10" s="138"/>
      <c r="L10" s="264">
        <v>0.42569444444444443</v>
      </c>
      <c r="M10" s="258">
        <f t="shared" si="1"/>
        <v>105</v>
      </c>
      <c r="N10" s="279">
        <f t="shared" si="2"/>
        <v>0</v>
      </c>
      <c r="O10" s="259">
        <f t="shared" si="3"/>
        <v>0.49861111111111112</v>
      </c>
      <c r="P10" s="263">
        <f t="shared" si="4"/>
        <v>0.49861111111111112</v>
      </c>
      <c r="Q10" s="128">
        <f t="shared" si="5"/>
        <v>0</v>
      </c>
      <c r="R10" s="266">
        <f t="shared" si="6"/>
        <v>0</v>
      </c>
      <c r="S10" s="136">
        <f t="shared" si="7"/>
        <v>140</v>
      </c>
      <c r="T10" s="280">
        <f t="shared" si="8"/>
        <v>2</v>
      </c>
      <c r="U10" s="260">
        <f t="shared" si="9"/>
        <v>0.59583333333333333</v>
      </c>
      <c r="V10" s="261">
        <v>0.61249999999999993</v>
      </c>
      <c r="W10" s="262">
        <f t="shared" si="10"/>
        <v>24</v>
      </c>
      <c r="X10" s="267">
        <f t="shared" si="11"/>
        <v>1320</v>
      </c>
      <c r="Y10" s="136">
        <f t="shared" si="12"/>
        <v>95</v>
      </c>
      <c r="Z10" s="280">
        <f t="shared" si="13"/>
        <v>0</v>
      </c>
      <c r="AA10" s="260">
        <f t="shared" si="14"/>
        <v>0.67986111111111103</v>
      </c>
      <c r="AB10" s="128">
        <f t="shared" si="15"/>
        <v>10</v>
      </c>
      <c r="AC10" s="261">
        <v>0.69374999999999998</v>
      </c>
      <c r="AD10" s="262">
        <f t="shared" si="16"/>
        <v>20</v>
      </c>
      <c r="AE10" s="266">
        <f t="shared" si="17"/>
        <v>1200</v>
      </c>
      <c r="AF10" s="261"/>
      <c r="AG10" s="266">
        <f t="shared" si="18"/>
        <v>300</v>
      </c>
      <c r="AH10" s="136">
        <f t="shared" si="19"/>
        <v>0</v>
      </c>
      <c r="AI10" s="128">
        <f t="shared" si="20"/>
        <v>0</v>
      </c>
      <c r="AJ10" s="129">
        <f t="shared" si="21"/>
        <v>0.49861111111111112</v>
      </c>
      <c r="AK10" s="137">
        <v>0.5131944444444444</v>
      </c>
      <c r="AL10" s="134"/>
      <c r="AM10" s="128">
        <f t="shared" si="22"/>
        <v>21</v>
      </c>
      <c r="AN10" s="268">
        <f t="shared" si="23"/>
        <v>0</v>
      </c>
      <c r="AO10" s="278"/>
      <c r="AP10" s="103">
        <f t="shared" si="24"/>
        <v>0.42569444444444443</v>
      </c>
      <c r="AQ10" s="132">
        <f t="shared" si="25"/>
        <v>0</v>
      </c>
      <c r="AR10" s="128">
        <f t="shared" si="26"/>
        <v>2503</v>
      </c>
      <c r="AS10" s="103">
        <f t="shared" si="27"/>
        <v>0.45466435185185183</v>
      </c>
      <c r="AT10" s="135"/>
      <c r="AU10" s="133">
        <f t="shared" si="28"/>
        <v>-39283</v>
      </c>
      <c r="AV10" s="134"/>
      <c r="AW10" s="441">
        <f>$AW$14*1.1</f>
        <v>735.90000000000009</v>
      </c>
      <c r="AX10" s="127"/>
      <c r="AY10" s="130">
        <v>0.50138888888888888</v>
      </c>
      <c r="AZ10" s="132">
        <f t="shared" si="29"/>
        <v>0</v>
      </c>
      <c r="BA10" s="128">
        <f t="shared" si="30"/>
        <v>409</v>
      </c>
      <c r="BB10" s="128">
        <f t="shared" si="31"/>
        <v>570</v>
      </c>
      <c r="BC10" s="103">
        <f t="shared" si="32"/>
        <v>0.50798611111111114</v>
      </c>
      <c r="BD10" s="135">
        <v>0.50787037037037031</v>
      </c>
      <c r="BE10" s="133">
        <f t="shared" si="33"/>
        <v>-10</v>
      </c>
      <c r="BF10" s="134"/>
      <c r="BG10" s="270">
        <f t="shared" si="34"/>
        <v>0</v>
      </c>
      <c r="BH10" s="127">
        <v>0.54166666666666663</v>
      </c>
      <c r="BI10" s="130">
        <v>0.54305555555555551</v>
      </c>
      <c r="BJ10" s="132">
        <f t="shared" si="35"/>
        <v>2</v>
      </c>
      <c r="BK10" s="128">
        <f t="shared" si="36"/>
        <v>455</v>
      </c>
      <c r="BL10" s="128">
        <f t="shared" si="37"/>
        <v>670</v>
      </c>
      <c r="BM10" s="103">
        <f t="shared" si="38"/>
        <v>0.5508101851851851</v>
      </c>
      <c r="BN10" s="135">
        <v>0.55055555555555558</v>
      </c>
      <c r="BO10" s="133">
        <f t="shared" si="39"/>
        <v>-22</v>
      </c>
      <c r="BP10" s="134"/>
      <c r="BQ10" s="270">
        <f t="shared" si="57"/>
        <v>0</v>
      </c>
      <c r="BR10" s="127"/>
      <c r="BS10" s="130">
        <v>0.57500000000000007</v>
      </c>
      <c r="BT10" s="132">
        <f t="shared" si="40"/>
        <v>0</v>
      </c>
      <c r="BU10" s="128">
        <f t="shared" si="41"/>
        <v>1936</v>
      </c>
      <c r="BV10" s="103">
        <f t="shared" si="42"/>
        <v>0.5974074074074075</v>
      </c>
      <c r="BW10" s="135">
        <v>0.59753472222222215</v>
      </c>
      <c r="BX10" s="133">
        <f t="shared" si="43"/>
        <v>11</v>
      </c>
      <c r="BY10" s="134"/>
      <c r="BZ10" s="270">
        <f t="shared" si="44"/>
        <v>11</v>
      </c>
      <c r="CA10" s="278"/>
      <c r="CB10" s="130">
        <v>0.61388888888888882</v>
      </c>
      <c r="CC10" s="132">
        <f t="shared" si="45"/>
        <v>0</v>
      </c>
      <c r="CD10" s="128">
        <f t="shared" si="46"/>
        <v>1899</v>
      </c>
      <c r="CE10" s="103">
        <f t="shared" si="47"/>
        <v>0.63586805555555548</v>
      </c>
      <c r="CF10" s="135">
        <v>0.64725694444444437</v>
      </c>
      <c r="CG10" s="133">
        <f t="shared" si="48"/>
        <v>984</v>
      </c>
      <c r="CH10" s="134"/>
      <c r="CI10" s="270">
        <f t="shared" si="49"/>
        <v>984</v>
      </c>
      <c r="CJ10" s="278"/>
      <c r="CK10" s="263">
        <f t="shared" si="50"/>
        <v>0.69374999999999998</v>
      </c>
      <c r="CL10" s="132">
        <f t="shared" si="51"/>
        <v>0</v>
      </c>
      <c r="CM10" s="131">
        <v>60</v>
      </c>
      <c r="CN10" s="440">
        <v>100.56</v>
      </c>
      <c r="CO10" s="147">
        <f t="shared" si="52"/>
        <v>40.6</v>
      </c>
      <c r="CP10" s="134"/>
      <c r="CQ10" s="134"/>
      <c r="CR10" s="134"/>
      <c r="CS10" s="134"/>
      <c r="CT10" s="270">
        <f t="shared" si="53"/>
        <v>406</v>
      </c>
      <c r="CU10" s="125" t="s">
        <v>580</v>
      </c>
      <c r="CV10" s="126" t="s">
        <v>569</v>
      </c>
      <c r="CW10" s="283">
        <v>14</v>
      </c>
      <c r="CX10" s="282">
        <f t="shared" si="54"/>
        <v>1680</v>
      </c>
      <c r="CY10" s="283">
        <v>0</v>
      </c>
      <c r="CZ10" s="282">
        <f t="shared" si="55"/>
        <v>0</v>
      </c>
    </row>
    <row r="11" spans="1:104" x14ac:dyDescent="0.25">
      <c r="A11" s="427">
        <f t="shared" si="0"/>
        <v>6</v>
      </c>
      <c r="B11" s="122">
        <v>11</v>
      </c>
      <c r="C11" s="123" t="s">
        <v>466</v>
      </c>
      <c r="D11" s="123" t="s">
        <v>467</v>
      </c>
      <c r="E11" s="123" t="s">
        <v>151</v>
      </c>
      <c r="F11" s="123" t="s">
        <v>152</v>
      </c>
      <c r="G11" s="122" t="s">
        <v>31</v>
      </c>
      <c r="H11" s="124"/>
      <c r="I11" s="450">
        <f t="shared" si="56"/>
        <v>6690</v>
      </c>
      <c r="J11" s="281"/>
      <c r="K11" s="138"/>
      <c r="L11" s="264">
        <v>0.42430555555555555</v>
      </c>
      <c r="M11" s="258">
        <f t="shared" si="1"/>
        <v>105</v>
      </c>
      <c r="N11" s="279">
        <f t="shared" si="2"/>
        <v>0</v>
      </c>
      <c r="O11" s="259">
        <f t="shared" si="3"/>
        <v>0.49722222222222223</v>
      </c>
      <c r="P11" s="263">
        <f t="shared" si="4"/>
        <v>0.49722222222222223</v>
      </c>
      <c r="Q11" s="128">
        <f t="shared" si="5"/>
        <v>0</v>
      </c>
      <c r="R11" s="266">
        <f t="shared" si="6"/>
        <v>0</v>
      </c>
      <c r="S11" s="136">
        <f t="shared" si="7"/>
        <v>140</v>
      </c>
      <c r="T11" s="280">
        <f t="shared" si="8"/>
        <v>2</v>
      </c>
      <c r="U11" s="260">
        <f t="shared" si="9"/>
        <v>0.59444444444444444</v>
      </c>
      <c r="V11" s="261">
        <v>0.60347222222222219</v>
      </c>
      <c r="W11" s="262">
        <f t="shared" si="10"/>
        <v>13</v>
      </c>
      <c r="X11" s="267">
        <f t="shared" si="11"/>
        <v>660</v>
      </c>
      <c r="Y11" s="136">
        <f t="shared" si="12"/>
        <v>95</v>
      </c>
      <c r="Z11" s="280">
        <f t="shared" si="13"/>
        <v>0</v>
      </c>
      <c r="AA11" s="260">
        <f t="shared" si="14"/>
        <v>0.67083333333333339</v>
      </c>
      <c r="AB11" s="128">
        <f t="shared" si="15"/>
        <v>10</v>
      </c>
      <c r="AC11" s="261">
        <v>0.69097222222222221</v>
      </c>
      <c r="AD11" s="262">
        <f t="shared" si="16"/>
        <v>29</v>
      </c>
      <c r="AE11" s="266">
        <f t="shared" si="17"/>
        <v>1740</v>
      </c>
      <c r="AF11" s="261" t="s">
        <v>430</v>
      </c>
      <c r="AG11" s="266">
        <f t="shared" si="18"/>
        <v>0</v>
      </c>
      <c r="AH11" s="136">
        <f t="shared" si="19"/>
        <v>0</v>
      </c>
      <c r="AI11" s="128">
        <f t="shared" si="20"/>
        <v>0</v>
      </c>
      <c r="AJ11" s="129">
        <f t="shared" si="21"/>
        <v>0.49722222222222223</v>
      </c>
      <c r="AK11" s="137">
        <v>0.49652777777777773</v>
      </c>
      <c r="AL11" s="134"/>
      <c r="AM11" s="128">
        <f t="shared" si="22"/>
        <v>-1</v>
      </c>
      <c r="AN11" s="268">
        <f t="shared" si="23"/>
        <v>120</v>
      </c>
      <c r="AO11" s="278"/>
      <c r="AP11" s="103">
        <f t="shared" si="24"/>
        <v>0.42430555555555555</v>
      </c>
      <c r="AQ11" s="132">
        <f t="shared" si="25"/>
        <v>0</v>
      </c>
      <c r="AR11" s="128">
        <f t="shared" si="26"/>
        <v>2503</v>
      </c>
      <c r="AS11" s="103">
        <f t="shared" si="27"/>
        <v>0.45327546296296295</v>
      </c>
      <c r="AT11" s="135">
        <v>0.46340277777777777</v>
      </c>
      <c r="AU11" s="133">
        <f t="shared" si="28"/>
        <v>875</v>
      </c>
      <c r="AV11" s="134"/>
      <c r="AW11" s="270">
        <f t="shared" ref="AW11:AW17" si="58">IF(NOT(OR(ISBLANK(AP11),ISBLANK(AT11))),ABS(AU11)*ШтрафОпережениеОтставаниеНаРД+IF(ISBLANK(AV11),0,ШтрафФальстартНаДС),"!!!ВРУЧНУЮ!!!")</f>
        <v>875</v>
      </c>
      <c r="AX11" s="127"/>
      <c r="AY11" s="130">
        <v>0.48194444444444445</v>
      </c>
      <c r="AZ11" s="132">
        <f t="shared" si="29"/>
        <v>0</v>
      </c>
      <c r="BA11" s="128">
        <f t="shared" si="30"/>
        <v>409</v>
      </c>
      <c r="BB11" s="128">
        <f t="shared" si="31"/>
        <v>570</v>
      </c>
      <c r="BC11" s="103">
        <f t="shared" si="32"/>
        <v>0.48854166666666665</v>
      </c>
      <c r="BD11" s="135">
        <v>0.48954861111111114</v>
      </c>
      <c r="BE11" s="133">
        <f t="shared" si="33"/>
        <v>87</v>
      </c>
      <c r="BF11" s="134"/>
      <c r="BG11" s="270">
        <f t="shared" si="34"/>
        <v>87</v>
      </c>
      <c r="BH11" s="127">
        <v>0.53194444444444444</v>
      </c>
      <c r="BI11" s="130">
        <v>0.53333333333333333</v>
      </c>
      <c r="BJ11" s="132">
        <f t="shared" si="35"/>
        <v>2</v>
      </c>
      <c r="BK11" s="128">
        <f t="shared" si="36"/>
        <v>455</v>
      </c>
      <c r="BL11" s="128">
        <f t="shared" si="37"/>
        <v>670</v>
      </c>
      <c r="BM11" s="103">
        <f t="shared" si="38"/>
        <v>0.54108796296296291</v>
      </c>
      <c r="BN11" s="135">
        <v>0.54173611111111108</v>
      </c>
      <c r="BO11" s="133">
        <f t="shared" si="39"/>
        <v>56</v>
      </c>
      <c r="BP11" s="134"/>
      <c r="BQ11" s="270">
        <f t="shared" si="57"/>
        <v>56</v>
      </c>
      <c r="BR11" s="127"/>
      <c r="BS11" s="130">
        <v>0.56944444444444442</v>
      </c>
      <c r="BT11" s="132">
        <f t="shared" si="40"/>
        <v>0</v>
      </c>
      <c r="BU11" s="128">
        <f t="shared" si="41"/>
        <v>1936</v>
      </c>
      <c r="BV11" s="103">
        <f t="shared" si="42"/>
        <v>0.59185185185185185</v>
      </c>
      <c r="BW11" s="135">
        <v>0.58807870370370374</v>
      </c>
      <c r="BX11" s="133">
        <f t="shared" si="43"/>
        <v>-326</v>
      </c>
      <c r="BY11" s="134"/>
      <c r="BZ11" s="270">
        <f t="shared" si="44"/>
        <v>326</v>
      </c>
      <c r="CA11" s="278"/>
      <c r="CB11" s="130">
        <v>0.60486111111111118</v>
      </c>
      <c r="CC11" s="132">
        <f t="shared" si="45"/>
        <v>0</v>
      </c>
      <c r="CD11" s="128">
        <f t="shared" si="46"/>
        <v>1899</v>
      </c>
      <c r="CE11" s="103">
        <f t="shared" si="47"/>
        <v>0.62684027777777784</v>
      </c>
      <c r="CF11" s="135">
        <v>0.64013888888888892</v>
      </c>
      <c r="CG11" s="133">
        <f t="shared" si="48"/>
        <v>1149</v>
      </c>
      <c r="CH11" s="134"/>
      <c r="CI11" s="270">
        <f t="shared" si="49"/>
        <v>1149</v>
      </c>
      <c r="CJ11" s="278"/>
      <c r="CK11" s="263">
        <f t="shared" si="50"/>
        <v>0.69097222222222221</v>
      </c>
      <c r="CL11" s="132">
        <f t="shared" si="51"/>
        <v>0</v>
      </c>
      <c r="CM11" s="131">
        <v>60</v>
      </c>
      <c r="CN11" s="440">
        <v>119.67</v>
      </c>
      <c r="CO11" s="147">
        <f t="shared" si="52"/>
        <v>59.7</v>
      </c>
      <c r="CP11" s="134"/>
      <c r="CQ11" s="134"/>
      <c r="CR11" s="134"/>
      <c r="CS11" s="134"/>
      <c r="CT11" s="270">
        <f t="shared" si="53"/>
        <v>597</v>
      </c>
      <c r="CU11" s="125" t="s">
        <v>579</v>
      </c>
      <c r="CV11" s="126" t="s">
        <v>569</v>
      </c>
      <c r="CW11" s="283">
        <v>9</v>
      </c>
      <c r="CX11" s="282">
        <f t="shared" si="54"/>
        <v>1080</v>
      </c>
      <c r="CY11" s="283">
        <v>0</v>
      </c>
      <c r="CZ11" s="282">
        <f t="shared" si="55"/>
        <v>0</v>
      </c>
    </row>
    <row r="12" spans="1:104" x14ac:dyDescent="0.25">
      <c r="A12" s="427">
        <f t="shared" si="0"/>
        <v>7</v>
      </c>
      <c r="B12" s="122">
        <v>4</v>
      </c>
      <c r="C12" s="123" t="s">
        <v>441</v>
      </c>
      <c r="D12" s="123" t="s">
        <v>141</v>
      </c>
      <c r="E12" s="123" t="s">
        <v>142</v>
      </c>
      <c r="F12" s="123" t="s">
        <v>143</v>
      </c>
      <c r="G12" s="122" t="s">
        <v>31</v>
      </c>
      <c r="H12" s="124"/>
      <c r="I12" s="450">
        <f t="shared" si="56"/>
        <v>7482</v>
      </c>
      <c r="J12" s="281"/>
      <c r="K12" s="138"/>
      <c r="L12" s="264">
        <v>0.41944444444444445</v>
      </c>
      <c r="M12" s="258">
        <f t="shared" si="1"/>
        <v>105</v>
      </c>
      <c r="N12" s="279">
        <f t="shared" si="2"/>
        <v>0</v>
      </c>
      <c r="O12" s="259">
        <f t="shared" si="3"/>
        <v>0.49236111111111114</v>
      </c>
      <c r="P12" s="263">
        <f t="shared" si="4"/>
        <v>0.49236111111111114</v>
      </c>
      <c r="Q12" s="128">
        <f t="shared" si="5"/>
        <v>0</v>
      </c>
      <c r="R12" s="266">
        <f t="shared" si="6"/>
        <v>0</v>
      </c>
      <c r="S12" s="136">
        <f t="shared" si="7"/>
        <v>140</v>
      </c>
      <c r="T12" s="280">
        <f t="shared" si="8"/>
        <v>2</v>
      </c>
      <c r="U12" s="260">
        <f t="shared" si="9"/>
        <v>0.58958333333333335</v>
      </c>
      <c r="V12" s="261">
        <v>0.61319444444444449</v>
      </c>
      <c r="W12" s="262">
        <f t="shared" si="10"/>
        <v>34</v>
      </c>
      <c r="X12" s="267">
        <f t="shared" si="11"/>
        <v>1920</v>
      </c>
      <c r="Y12" s="136">
        <f t="shared" si="12"/>
        <v>95</v>
      </c>
      <c r="Z12" s="280">
        <f t="shared" si="13"/>
        <v>0</v>
      </c>
      <c r="AA12" s="260">
        <f t="shared" si="14"/>
        <v>0.68055555555555558</v>
      </c>
      <c r="AB12" s="128">
        <f t="shared" si="15"/>
        <v>10</v>
      </c>
      <c r="AC12" s="261">
        <v>0.69374999999999998</v>
      </c>
      <c r="AD12" s="262">
        <f t="shared" si="16"/>
        <v>19</v>
      </c>
      <c r="AE12" s="266">
        <f t="shared" si="17"/>
        <v>1140</v>
      </c>
      <c r="AF12" s="261" t="s">
        <v>430</v>
      </c>
      <c r="AG12" s="266">
        <f t="shared" si="18"/>
        <v>0</v>
      </c>
      <c r="AH12" s="136">
        <f t="shared" si="19"/>
        <v>0</v>
      </c>
      <c r="AI12" s="128">
        <f t="shared" si="20"/>
        <v>0</v>
      </c>
      <c r="AJ12" s="129">
        <f t="shared" si="21"/>
        <v>0.49236111111111114</v>
      </c>
      <c r="AK12" s="137">
        <v>0.4916666666666667</v>
      </c>
      <c r="AL12" s="134"/>
      <c r="AM12" s="128">
        <f t="shared" si="22"/>
        <v>-1</v>
      </c>
      <c r="AN12" s="268">
        <f t="shared" si="23"/>
        <v>120</v>
      </c>
      <c r="AO12" s="278"/>
      <c r="AP12" s="103">
        <f t="shared" si="24"/>
        <v>0.41944444444444445</v>
      </c>
      <c r="AQ12" s="132">
        <f t="shared" si="25"/>
        <v>0</v>
      </c>
      <c r="AR12" s="128">
        <f t="shared" si="26"/>
        <v>2503</v>
      </c>
      <c r="AS12" s="103">
        <f t="shared" si="27"/>
        <v>0.44841435185185186</v>
      </c>
      <c r="AT12" s="135">
        <v>0.44754629629629633</v>
      </c>
      <c r="AU12" s="133">
        <f t="shared" si="28"/>
        <v>-75</v>
      </c>
      <c r="AV12" s="134"/>
      <c r="AW12" s="270">
        <f t="shared" si="58"/>
        <v>75</v>
      </c>
      <c r="AX12" s="127"/>
      <c r="AY12" s="130">
        <v>0.4770833333333333</v>
      </c>
      <c r="AZ12" s="132">
        <f t="shared" si="29"/>
        <v>0</v>
      </c>
      <c r="BA12" s="128">
        <f t="shared" si="30"/>
        <v>409</v>
      </c>
      <c r="BB12" s="128">
        <f t="shared" si="31"/>
        <v>570</v>
      </c>
      <c r="BC12" s="103">
        <f t="shared" si="32"/>
        <v>0.4836805555555555</v>
      </c>
      <c r="BD12" s="135">
        <v>0.4836226851851852</v>
      </c>
      <c r="BE12" s="133">
        <f t="shared" si="33"/>
        <v>-5</v>
      </c>
      <c r="BF12" s="134"/>
      <c r="BG12" s="270">
        <f t="shared" si="34"/>
        <v>0</v>
      </c>
      <c r="BH12" s="127">
        <v>0.53333333333333333</v>
      </c>
      <c r="BI12" s="130">
        <v>0.53472222222222221</v>
      </c>
      <c r="BJ12" s="132">
        <f t="shared" si="35"/>
        <v>2</v>
      </c>
      <c r="BK12" s="128">
        <f t="shared" si="36"/>
        <v>455</v>
      </c>
      <c r="BL12" s="128">
        <f t="shared" si="37"/>
        <v>670</v>
      </c>
      <c r="BM12" s="103">
        <f t="shared" si="38"/>
        <v>0.54247685185185179</v>
      </c>
      <c r="BN12" s="135">
        <v>0.54270833333333335</v>
      </c>
      <c r="BO12" s="133">
        <f t="shared" si="39"/>
        <v>20</v>
      </c>
      <c r="BP12" s="134"/>
      <c r="BQ12" s="270">
        <f t="shared" si="57"/>
        <v>20</v>
      </c>
      <c r="BR12" s="127"/>
      <c r="BS12" s="130">
        <v>0.56666666666666665</v>
      </c>
      <c r="BT12" s="132">
        <f t="shared" si="40"/>
        <v>0</v>
      </c>
      <c r="BU12" s="128">
        <f t="shared" si="41"/>
        <v>1936</v>
      </c>
      <c r="BV12" s="103">
        <f t="shared" si="42"/>
        <v>0.58907407407407408</v>
      </c>
      <c r="BW12" s="135">
        <v>0.59685185185185186</v>
      </c>
      <c r="BX12" s="133">
        <f t="shared" si="43"/>
        <v>672</v>
      </c>
      <c r="BY12" s="134"/>
      <c r="BZ12" s="270">
        <f t="shared" si="44"/>
        <v>672</v>
      </c>
      <c r="CA12" s="278"/>
      <c r="CB12" s="130">
        <v>0.61458333333333337</v>
      </c>
      <c r="CC12" s="132">
        <f t="shared" si="45"/>
        <v>0</v>
      </c>
      <c r="CD12" s="128">
        <f t="shared" si="46"/>
        <v>1899</v>
      </c>
      <c r="CE12" s="103">
        <f t="shared" si="47"/>
        <v>0.63656250000000003</v>
      </c>
      <c r="CF12" s="135">
        <v>0.65001157407407406</v>
      </c>
      <c r="CG12" s="133">
        <f t="shared" si="48"/>
        <v>1162</v>
      </c>
      <c r="CH12" s="134"/>
      <c r="CI12" s="270">
        <f t="shared" si="49"/>
        <v>1162</v>
      </c>
      <c r="CJ12" s="278"/>
      <c r="CK12" s="263">
        <f t="shared" si="50"/>
        <v>0.69374999999999998</v>
      </c>
      <c r="CL12" s="132">
        <f t="shared" si="51"/>
        <v>0</v>
      </c>
      <c r="CM12" s="131">
        <v>60</v>
      </c>
      <c r="CN12" s="440">
        <v>153.26</v>
      </c>
      <c r="CO12" s="147">
        <f t="shared" si="52"/>
        <v>93.3</v>
      </c>
      <c r="CP12" s="134"/>
      <c r="CQ12" s="134"/>
      <c r="CR12" s="134"/>
      <c r="CS12" s="134"/>
      <c r="CT12" s="270">
        <f t="shared" si="53"/>
        <v>933</v>
      </c>
      <c r="CU12" s="125" t="s">
        <v>573</v>
      </c>
      <c r="CV12" s="126" t="s">
        <v>569</v>
      </c>
      <c r="CW12" s="283">
        <v>12</v>
      </c>
      <c r="CX12" s="282">
        <f t="shared" si="54"/>
        <v>1440</v>
      </c>
      <c r="CY12" s="283">
        <v>0</v>
      </c>
      <c r="CZ12" s="282">
        <f t="shared" si="55"/>
        <v>0</v>
      </c>
    </row>
    <row r="13" spans="1:104" x14ac:dyDescent="0.25">
      <c r="A13" s="427">
        <f t="shared" si="0"/>
        <v>9</v>
      </c>
      <c r="B13" s="122">
        <v>6</v>
      </c>
      <c r="C13" s="123" t="s">
        <v>449</v>
      </c>
      <c r="D13" s="123" t="s">
        <v>450</v>
      </c>
      <c r="E13" s="123" t="s">
        <v>164</v>
      </c>
      <c r="F13" s="123" t="s">
        <v>452</v>
      </c>
      <c r="G13" s="122" t="s">
        <v>31</v>
      </c>
      <c r="H13" s="124"/>
      <c r="I13" s="450">
        <f t="shared" si="56"/>
        <v>7897.8</v>
      </c>
      <c r="J13" s="281"/>
      <c r="K13" s="138"/>
      <c r="L13" s="264">
        <v>0.42083333333333334</v>
      </c>
      <c r="M13" s="258">
        <f t="shared" si="1"/>
        <v>105</v>
      </c>
      <c r="N13" s="279">
        <f t="shared" si="2"/>
        <v>0</v>
      </c>
      <c r="O13" s="259">
        <f t="shared" si="3"/>
        <v>0.49375000000000002</v>
      </c>
      <c r="P13" s="263">
        <f t="shared" si="4"/>
        <v>0.49375000000000002</v>
      </c>
      <c r="Q13" s="128">
        <f t="shared" si="5"/>
        <v>0</v>
      </c>
      <c r="R13" s="266">
        <f t="shared" si="6"/>
        <v>0</v>
      </c>
      <c r="S13" s="136">
        <f t="shared" si="7"/>
        <v>140</v>
      </c>
      <c r="T13" s="280">
        <f t="shared" si="8"/>
        <v>1</v>
      </c>
      <c r="U13" s="260">
        <f t="shared" si="9"/>
        <v>0.59097222222222223</v>
      </c>
      <c r="V13" s="261"/>
      <c r="W13" s="262" t="str">
        <f t="shared" si="10"/>
        <v/>
      </c>
      <c r="X13" s="267">
        <f t="shared" si="11"/>
        <v>1800</v>
      </c>
      <c r="Y13" s="136">
        <f t="shared" si="12"/>
        <v>95</v>
      </c>
      <c r="Z13" s="280">
        <f t="shared" si="13"/>
        <v>0</v>
      </c>
      <c r="AA13" s="260">
        <f t="shared" si="14"/>
        <v>0.65694444444444444</v>
      </c>
      <c r="AB13" s="128">
        <f t="shared" si="15"/>
        <v>10</v>
      </c>
      <c r="AC13" s="261">
        <v>0.6743055555555556</v>
      </c>
      <c r="AD13" s="262">
        <f t="shared" si="16"/>
        <v>25</v>
      </c>
      <c r="AE13" s="266">
        <f t="shared" si="17"/>
        <v>1500</v>
      </c>
      <c r="AF13" s="261" t="s">
        <v>430</v>
      </c>
      <c r="AG13" s="266">
        <f t="shared" si="18"/>
        <v>0</v>
      </c>
      <c r="AH13" s="136">
        <f t="shared" si="19"/>
        <v>0</v>
      </c>
      <c r="AI13" s="128">
        <f t="shared" si="20"/>
        <v>0</v>
      </c>
      <c r="AJ13" s="129">
        <f t="shared" si="21"/>
        <v>0.49375000000000002</v>
      </c>
      <c r="AK13" s="137">
        <v>0.52708333333333335</v>
      </c>
      <c r="AL13" s="134"/>
      <c r="AM13" s="128">
        <f t="shared" si="22"/>
        <v>48</v>
      </c>
      <c r="AN13" s="268">
        <f t="shared" si="23"/>
        <v>0</v>
      </c>
      <c r="AO13" s="278"/>
      <c r="AP13" s="103">
        <f t="shared" si="24"/>
        <v>0.42083333333333334</v>
      </c>
      <c r="AQ13" s="132">
        <f t="shared" si="25"/>
        <v>0</v>
      </c>
      <c r="AR13" s="128">
        <f t="shared" si="26"/>
        <v>2503</v>
      </c>
      <c r="AS13" s="103">
        <f t="shared" si="27"/>
        <v>0.44980324074074074</v>
      </c>
      <c r="AT13" s="135">
        <v>0.44707175925925924</v>
      </c>
      <c r="AU13" s="133">
        <f t="shared" si="28"/>
        <v>-236</v>
      </c>
      <c r="AV13" s="134"/>
      <c r="AW13" s="270">
        <f t="shared" si="58"/>
        <v>236</v>
      </c>
      <c r="AX13" s="127"/>
      <c r="AY13" s="130">
        <v>0.47986111111111113</v>
      </c>
      <c r="AZ13" s="132">
        <f t="shared" si="29"/>
        <v>0</v>
      </c>
      <c r="BA13" s="128">
        <f t="shared" si="30"/>
        <v>409</v>
      </c>
      <c r="BB13" s="128">
        <f t="shared" si="31"/>
        <v>570</v>
      </c>
      <c r="BC13" s="103">
        <f t="shared" si="32"/>
        <v>0.48645833333333333</v>
      </c>
      <c r="BD13" s="135">
        <v>0.4864236111111111</v>
      </c>
      <c r="BE13" s="133">
        <f t="shared" si="33"/>
        <v>-3</v>
      </c>
      <c r="BF13" s="134"/>
      <c r="BG13" s="270">
        <f t="shared" si="34"/>
        <v>0</v>
      </c>
      <c r="BH13" s="127">
        <v>0.56874999999999998</v>
      </c>
      <c r="BI13" s="130">
        <v>0.56944444444444442</v>
      </c>
      <c r="BJ13" s="132">
        <f t="shared" si="35"/>
        <v>1</v>
      </c>
      <c r="BK13" s="128">
        <f t="shared" si="36"/>
        <v>455</v>
      </c>
      <c r="BL13" s="128">
        <f t="shared" si="37"/>
        <v>670</v>
      </c>
      <c r="BM13" s="103">
        <f t="shared" si="38"/>
        <v>0.577199074074074</v>
      </c>
      <c r="BN13" s="135">
        <v>0.57763888888888892</v>
      </c>
      <c r="BO13" s="133">
        <f t="shared" si="39"/>
        <v>38</v>
      </c>
      <c r="BP13" s="134"/>
      <c r="BQ13" s="270">
        <f t="shared" si="57"/>
        <v>38</v>
      </c>
      <c r="BR13" s="127"/>
      <c r="BS13" s="130">
        <v>0.6020833333333333</v>
      </c>
      <c r="BT13" s="132">
        <f t="shared" si="40"/>
        <v>0</v>
      </c>
      <c r="BU13" s="128">
        <f t="shared" si="41"/>
        <v>1936</v>
      </c>
      <c r="BV13" s="103">
        <f t="shared" si="42"/>
        <v>0.62449074074074074</v>
      </c>
      <c r="BW13" s="135">
        <v>0.61006944444444444</v>
      </c>
      <c r="BX13" s="133">
        <f t="shared" si="43"/>
        <v>-1246</v>
      </c>
      <c r="BY13" s="134"/>
      <c r="BZ13" s="270">
        <f t="shared" si="44"/>
        <v>1246</v>
      </c>
      <c r="CA13" s="278"/>
      <c r="CB13" s="130"/>
      <c r="CC13" s="132">
        <f t="shared" si="45"/>
        <v>0</v>
      </c>
      <c r="CD13" s="128">
        <f t="shared" si="46"/>
        <v>1899</v>
      </c>
      <c r="CE13" s="103">
        <f t="shared" si="47"/>
        <v>2.1979166666666668E-2</v>
      </c>
      <c r="CF13" s="135">
        <v>0.63715277777777779</v>
      </c>
      <c r="CG13" s="133">
        <f t="shared" si="48"/>
        <v>53151</v>
      </c>
      <c r="CH13" s="134"/>
      <c r="CI13" s="441">
        <f>CI14*1.1</f>
        <v>789.80000000000007</v>
      </c>
      <c r="CJ13" s="278"/>
      <c r="CK13" s="263">
        <f t="shared" si="50"/>
        <v>0.6743055555555556</v>
      </c>
      <c r="CL13" s="132">
        <f t="shared" si="51"/>
        <v>0</v>
      </c>
      <c r="CM13" s="131">
        <v>60</v>
      </c>
      <c r="CN13" s="440">
        <v>136.79</v>
      </c>
      <c r="CO13" s="147">
        <f t="shared" si="52"/>
        <v>76.8</v>
      </c>
      <c r="CP13" s="134"/>
      <c r="CQ13" s="134"/>
      <c r="CR13" s="134"/>
      <c r="CS13" s="134">
        <v>1</v>
      </c>
      <c r="CT13" s="270">
        <f t="shared" si="53"/>
        <v>968</v>
      </c>
      <c r="CU13" s="125" t="s">
        <v>574</v>
      </c>
      <c r="CV13" s="126" t="s">
        <v>569</v>
      </c>
      <c r="CW13" s="283">
        <v>11</v>
      </c>
      <c r="CX13" s="282">
        <f t="shared" si="54"/>
        <v>1320</v>
      </c>
      <c r="CY13" s="283">
        <v>0</v>
      </c>
      <c r="CZ13" s="282">
        <f t="shared" si="55"/>
        <v>0</v>
      </c>
    </row>
    <row r="14" spans="1:104" x14ac:dyDescent="0.25">
      <c r="A14" s="427">
        <f t="shared" si="0"/>
        <v>8</v>
      </c>
      <c r="B14" s="122">
        <v>9</v>
      </c>
      <c r="C14" s="123" t="s">
        <v>461</v>
      </c>
      <c r="D14" s="123" t="s">
        <v>178</v>
      </c>
      <c r="E14" s="123" t="s">
        <v>463</v>
      </c>
      <c r="F14" s="123" t="s">
        <v>464</v>
      </c>
      <c r="G14" s="122" t="s">
        <v>31</v>
      </c>
      <c r="H14" s="124"/>
      <c r="I14" s="450">
        <f t="shared" si="56"/>
        <v>7633</v>
      </c>
      <c r="J14" s="281"/>
      <c r="K14" s="138"/>
      <c r="L14" s="264">
        <v>0.42291666666666666</v>
      </c>
      <c r="M14" s="258">
        <f t="shared" si="1"/>
        <v>105</v>
      </c>
      <c r="N14" s="279">
        <f t="shared" si="2"/>
        <v>0</v>
      </c>
      <c r="O14" s="259">
        <f t="shared" si="3"/>
        <v>0.49583333333333335</v>
      </c>
      <c r="P14" s="263">
        <f t="shared" si="4"/>
        <v>0.49583333333333335</v>
      </c>
      <c r="Q14" s="128">
        <f t="shared" si="5"/>
        <v>0</v>
      </c>
      <c r="R14" s="266">
        <f t="shared" si="6"/>
        <v>0</v>
      </c>
      <c r="S14" s="136">
        <f t="shared" si="7"/>
        <v>140</v>
      </c>
      <c r="T14" s="280">
        <f t="shared" si="8"/>
        <v>1</v>
      </c>
      <c r="U14" s="260">
        <f t="shared" si="9"/>
        <v>0.59305555555555556</v>
      </c>
      <c r="V14" s="261">
        <v>0.60833333333333328</v>
      </c>
      <c r="W14" s="262">
        <f t="shared" si="10"/>
        <v>22</v>
      </c>
      <c r="X14" s="267">
        <f t="shared" si="11"/>
        <v>1260</v>
      </c>
      <c r="Y14" s="136">
        <f t="shared" si="12"/>
        <v>95</v>
      </c>
      <c r="Z14" s="280">
        <f t="shared" si="13"/>
        <v>0</v>
      </c>
      <c r="AA14" s="260">
        <f t="shared" si="14"/>
        <v>0.67569444444444438</v>
      </c>
      <c r="AB14" s="128">
        <f t="shared" si="15"/>
        <v>10</v>
      </c>
      <c r="AC14" s="261">
        <v>0.6777777777777777</v>
      </c>
      <c r="AD14" s="262">
        <f t="shared" si="16"/>
        <v>3</v>
      </c>
      <c r="AE14" s="266">
        <f t="shared" si="17"/>
        <v>180</v>
      </c>
      <c r="AF14" s="261" t="s">
        <v>430</v>
      </c>
      <c r="AG14" s="266">
        <f t="shared" si="18"/>
        <v>0</v>
      </c>
      <c r="AH14" s="136">
        <f t="shared" si="19"/>
        <v>0</v>
      </c>
      <c r="AI14" s="128">
        <f t="shared" si="20"/>
        <v>0</v>
      </c>
      <c r="AJ14" s="129">
        <f t="shared" si="21"/>
        <v>0.49583333333333335</v>
      </c>
      <c r="AK14" s="137">
        <v>0.49374999999999997</v>
      </c>
      <c r="AL14" s="134"/>
      <c r="AM14" s="128">
        <f t="shared" si="22"/>
        <v>-3</v>
      </c>
      <c r="AN14" s="268">
        <f t="shared" si="23"/>
        <v>360</v>
      </c>
      <c r="AO14" s="278"/>
      <c r="AP14" s="103">
        <f t="shared" si="24"/>
        <v>0.42291666666666666</v>
      </c>
      <c r="AQ14" s="132">
        <f t="shared" si="25"/>
        <v>0</v>
      </c>
      <c r="AR14" s="128">
        <f t="shared" si="26"/>
        <v>2503</v>
      </c>
      <c r="AS14" s="103">
        <f t="shared" si="27"/>
        <v>0.45188657407407407</v>
      </c>
      <c r="AT14" s="135">
        <v>0.45962962962962961</v>
      </c>
      <c r="AU14" s="133">
        <f t="shared" si="28"/>
        <v>669</v>
      </c>
      <c r="AV14" s="134"/>
      <c r="AW14" s="270">
        <f t="shared" si="58"/>
        <v>669</v>
      </c>
      <c r="AX14" s="127"/>
      <c r="AY14" s="130">
        <v>0.48055555555555557</v>
      </c>
      <c r="AZ14" s="132">
        <f t="shared" si="29"/>
        <v>0</v>
      </c>
      <c r="BA14" s="128">
        <f t="shared" si="30"/>
        <v>409</v>
      </c>
      <c r="BB14" s="128">
        <f t="shared" si="31"/>
        <v>570</v>
      </c>
      <c r="BC14" s="103">
        <f t="shared" si="32"/>
        <v>0.48715277777777777</v>
      </c>
      <c r="BD14" s="135">
        <v>0.48749999999999999</v>
      </c>
      <c r="BE14" s="133">
        <f t="shared" si="33"/>
        <v>30</v>
      </c>
      <c r="BF14" s="134"/>
      <c r="BG14" s="270">
        <f t="shared" si="34"/>
        <v>30</v>
      </c>
      <c r="BH14" s="127">
        <v>0.52083333333333337</v>
      </c>
      <c r="BI14" s="130">
        <v>0.52152777777777781</v>
      </c>
      <c r="BJ14" s="132">
        <f t="shared" si="35"/>
        <v>1</v>
      </c>
      <c r="BK14" s="128">
        <f t="shared" si="36"/>
        <v>455</v>
      </c>
      <c r="BL14" s="128">
        <f t="shared" si="37"/>
        <v>670</v>
      </c>
      <c r="BM14" s="103">
        <f t="shared" si="38"/>
        <v>0.5292824074074074</v>
      </c>
      <c r="BN14" s="135">
        <v>0.5296643518518519</v>
      </c>
      <c r="BO14" s="133">
        <f t="shared" si="39"/>
        <v>33</v>
      </c>
      <c r="BP14" s="134"/>
      <c r="BQ14" s="270">
        <f t="shared" si="57"/>
        <v>33</v>
      </c>
      <c r="BR14" s="127"/>
      <c r="BS14" s="130">
        <v>0.55486111111111114</v>
      </c>
      <c r="BT14" s="132">
        <f t="shared" si="40"/>
        <v>0</v>
      </c>
      <c r="BU14" s="128">
        <f t="shared" si="41"/>
        <v>1936</v>
      </c>
      <c r="BV14" s="103">
        <f t="shared" si="42"/>
        <v>0.57726851851851857</v>
      </c>
      <c r="BW14" s="135">
        <v>0.58832175925925922</v>
      </c>
      <c r="BX14" s="133">
        <f t="shared" si="43"/>
        <v>955</v>
      </c>
      <c r="BY14" s="134"/>
      <c r="BZ14" s="270">
        <f t="shared" si="44"/>
        <v>955</v>
      </c>
      <c r="CA14" s="278"/>
      <c r="CB14" s="130">
        <v>0.60972222222222217</v>
      </c>
      <c r="CC14" s="132">
        <f t="shared" si="45"/>
        <v>0</v>
      </c>
      <c r="CD14" s="128">
        <f t="shared" si="46"/>
        <v>1899</v>
      </c>
      <c r="CE14" s="103">
        <f t="shared" si="47"/>
        <v>0.63170138888888883</v>
      </c>
      <c r="CF14" s="135">
        <v>0.64001157407407405</v>
      </c>
      <c r="CG14" s="133">
        <f t="shared" si="48"/>
        <v>718</v>
      </c>
      <c r="CH14" s="134"/>
      <c r="CI14" s="270">
        <f t="shared" ref="CI14:CI34" si="59">IF(NOT(OR(ISBLANK(CB14),ISBLANK(CF14))),ABS(CG14)*ШтрафОпережениеОтставаниеНаРД+IF(ISBLANK(CH14),0,ШтрафФальстартНаДС),"!!!ВРУЧНУЮ!!!")</f>
        <v>718</v>
      </c>
      <c r="CJ14" s="278"/>
      <c r="CK14" s="263">
        <f t="shared" si="50"/>
        <v>0.6777777777777777</v>
      </c>
      <c r="CL14" s="132">
        <f t="shared" si="51"/>
        <v>0</v>
      </c>
      <c r="CM14" s="131">
        <v>60</v>
      </c>
      <c r="CN14" s="440">
        <v>106.79</v>
      </c>
      <c r="CO14" s="147">
        <f t="shared" si="52"/>
        <v>46.8</v>
      </c>
      <c r="CP14" s="134"/>
      <c r="CQ14" s="134"/>
      <c r="CR14" s="134"/>
      <c r="CS14" s="134">
        <v>7</v>
      </c>
      <c r="CT14" s="270">
        <f t="shared" si="53"/>
        <v>1868</v>
      </c>
      <c r="CU14" s="125" t="s">
        <v>577</v>
      </c>
      <c r="CV14" s="126" t="s">
        <v>569</v>
      </c>
      <c r="CW14" s="283">
        <v>13</v>
      </c>
      <c r="CX14" s="282">
        <f t="shared" si="54"/>
        <v>1560</v>
      </c>
      <c r="CY14" s="283">
        <v>0</v>
      </c>
      <c r="CZ14" s="282">
        <f t="shared" si="55"/>
        <v>0</v>
      </c>
    </row>
    <row r="15" spans="1:104" x14ac:dyDescent="0.25">
      <c r="A15" s="427">
        <f t="shared" si="0"/>
        <v>10</v>
      </c>
      <c r="B15" s="122">
        <v>7</v>
      </c>
      <c r="C15" s="123" t="s">
        <v>135</v>
      </c>
      <c r="D15" s="123" t="s">
        <v>453</v>
      </c>
      <c r="E15" s="123" t="s">
        <v>136</v>
      </c>
      <c r="F15" s="123" t="s">
        <v>82</v>
      </c>
      <c r="G15" s="122" t="s">
        <v>31</v>
      </c>
      <c r="H15" s="124"/>
      <c r="I15" s="450">
        <f t="shared" si="56"/>
        <v>8204</v>
      </c>
      <c r="J15" s="281"/>
      <c r="K15" s="138"/>
      <c r="L15" s="264">
        <v>0.42152777777777778</v>
      </c>
      <c r="M15" s="258">
        <f t="shared" si="1"/>
        <v>105</v>
      </c>
      <c r="N15" s="279">
        <f t="shared" si="2"/>
        <v>0</v>
      </c>
      <c r="O15" s="259">
        <f t="shared" si="3"/>
        <v>0.49444444444444446</v>
      </c>
      <c r="P15" s="263">
        <f t="shared" si="4"/>
        <v>0.49444444444444446</v>
      </c>
      <c r="Q15" s="128">
        <f t="shared" si="5"/>
        <v>0</v>
      </c>
      <c r="R15" s="266">
        <f t="shared" si="6"/>
        <v>0</v>
      </c>
      <c r="S15" s="136">
        <f t="shared" si="7"/>
        <v>140</v>
      </c>
      <c r="T15" s="280">
        <f t="shared" si="8"/>
        <v>1</v>
      </c>
      <c r="U15" s="260">
        <f t="shared" si="9"/>
        <v>0.59166666666666667</v>
      </c>
      <c r="V15" s="261">
        <v>0.59652777777777777</v>
      </c>
      <c r="W15" s="262">
        <f t="shared" si="10"/>
        <v>7</v>
      </c>
      <c r="X15" s="267">
        <f t="shared" si="11"/>
        <v>360</v>
      </c>
      <c r="Y15" s="136">
        <f t="shared" si="12"/>
        <v>95</v>
      </c>
      <c r="Z15" s="280">
        <f t="shared" si="13"/>
        <v>0</v>
      </c>
      <c r="AA15" s="260">
        <f t="shared" si="14"/>
        <v>0.66388888888888886</v>
      </c>
      <c r="AB15" s="128">
        <f t="shared" si="15"/>
        <v>10</v>
      </c>
      <c r="AC15" s="261">
        <v>0.67291666666666661</v>
      </c>
      <c r="AD15" s="262">
        <f t="shared" si="16"/>
        <v>13</v>
      </c>
      <c r="AE15" s="266">
        <f t="shared" si="17"/>
        <v>780</v>
      </c>
      <c r="AF15" s="261"/>
      <c r="AG15" s="266">
        <f t="shared" si="18"/>
        <v>300</v>
      </c>
      <c r="AH15" s="136">
        <f t="shared" si="19"/>
        <v>0</v>
      </c>
      <c r="AI15" s="128">
        <f t="shared" si="20"/>
        <v>0</v>
      </c>
      <c r="AJ15" s="129">
        <f t="shared" si="21"/>
        <v>0.49444444444444446</v>
      </c>
      <c r="AK15" s="137">
        <v>0.49444444444444446</v>
      </c>
      <c r="AL15" s="134"/>
      <c r="AM15" s="128">
        <f t="shared" si="22"/>
        <v>0</v>
      </c>
      <c r="AN15" s="268">
        <f t="shared" si="23"/>
        <v>0</v>
      </c>
      <c r="AO15" s="278"/>
      <c r="AP15" s="103">
        <f t="shared" si="24"/>
        <v>0.42152777777777778</v>
      </c>
      <c r="AQ15" s="132">
        <f t="shared" si="25"/>
        <v>0</v>
      </c>
      <c r="AR15" s="128">
        <f t="shared" si="26"/>
        <v>2503</v>
      </c>
      <c r="AS15" s="103">
        <f t="shared" si="27"/>
        <v>0.45049768518518518</v>
      </c>
      <c r="AT15" s="135">
        <v>0.4581944444444444</v>
      </c>
      <c r="AU15" s="133">
        <f t="shared" si="28"/>
        <v>665</v>
      </c>
      <c r="AV15" s="134"/>
      <c r="AW15" s="270">
        <f t="shared" si="58"/>
        <v>665</v>
      </c>
      <c r="AX15" s="127"/>
      <c r="AY15" s="130">
        <v>0.47916666666666669</v>
      </c>
      <c r="AZ15" s="132">
        <f t="shared" si="29"/>
        <v>0</v>
      </c>
      <c r="BA15" s="128">
        <f t="shared" si="30"/>
        <v>409</v>
      </c>
      <c r="BB15" s="128">
        <f t="shared" si="31"/>
        <v>570</v>
      </c>
      <c r="BC15" s="103">
        <f t="shared" si="32"/>
        <v>0.48576388888888888</v>
      </c>
      <c r="BD15" s="135">
        <v>0.4855902777777778</v>
      </c>
      <c r="BE15" s="133">
        <f t="shared" si="33"/>
        <v>-15</v>
      </c>
      <c r="BF15" s="134"/>
      <c r="BG15" s="270">
        <f t="shared" si="34"/>
        <v>0</v>
      </c>
      <c r="BH15" s="127">
        <v>0.52152777777777781</v>
      </c>
      <c r="BI15" s="130">
        <v>0.52222222222222225</v>
      </c>
      <c r="BJ15" s="132">
        <f t="shared" si="35"/>
        <v>1</v>
      </c>
      <c r="BK15" s="128">
        <f t="shared" si="36"/>
        <v>455</v>
      </c>
      <c r="BL15" s="128">
        <f t="shared" si="37"/>
        <v>670</v>
      </c>
      <c r="BM15" s="103">
        <f t="shared" si="38"/>
        <v>0.52997685185185184</v>
      </c>
      <c r="BN15" s="135">
        <v>0.52997685185185184</v>
      </c>
      <c r="BO15" s="133">
        <f t="shared" si="39"/>
        <v>0</v>
      </c>
      <c r="BP15" s="134"/>
      <c r="BQ15" s="270">
        <f t="shared" si="57"/>
        <v>0</v>
      </c>
      <c r="BR15" s="127"/>
      <c r="BS15" s="130">
        <v>0.55625000000000002</v>
      </c>
      <c r="BT15" s="132">
        <f t="shared" si="40"/>
        <v>0</v>
      </c>
      <c r="BU15" s="128">
        <f t="shared" si="41"/>
        <v>1936</v>
      </c>
      <c r="BV15" s="103">
        <f t="shared" si="42"/>
        <v>0.57865740740740745</v>
      </c>
      <c r="BW15" s="135">
        <v>0.58247685185185183</v>
      </c>
      <c r="BX15" s="133">
        <f t="shared" si="43"/>
        <v>330</v>
      </c>
      <c r="BY15" s="134"/>
      <c r="BZ15" s="270">
        <f t="shared" si="44"/>
        <v>330</v>
      </c>
      <c r="CA15" s="278"/>
      <c r="CB15" s="130">
        <v>0.59791666666666665</v>
      </c>
      <c r="CC15" s="132">
        <f t="shared" si="45"/>
        <v>0</v>
      </c>
      <c r="CD15" s="128">
        <f t="shared" si="46"/>
        <v>1899</v>
      </c>
      <c r="CE15" s="103">
        <f t="shared" si="47"/>
        <v>0.61989583333333331</v>
      </c>
      <c r="CF15" s="135">
        <v>0.58383101851851849</v>
      </c>
      <c r="CG15" s="133">
        <f t="shared" si="48"/>
        <v>-3116</v>
      </c>
      <c r="CH15" s="134"/>
      <c r="CI15" s="270">
        <f t="shared" si="59"/>
        <v>3116</v>
      </c>
      <c r="CJ15" s="278"/>
      <c r="CK15" s="263">
        <f t="shared" si="50"/>
        <v>0.67291666666666661</v>
      </c>
      <c r="CL15" s="132">
        <f t="shared" si="51"/>
        <v>0</v>
      </c>
      <c r="CM15" s="131">
        <v>60</v>
      </c>
      <c r="CN15" s="440">
        <v>89.29</v>
      </c>
      <c r="CO15" s="147">
        <f t="shared" si="52"/>
        <v>29.3</v>
      </c>
      <c r="CP15" s="134"/>
      <c r="CQ15" s="134"/>
      <c r="CR15" s="134"/>
      <c r="CS15" s="134">
        <v>4</v>
      </c>
      <c r="CT15" s="270">
        <f t="shared" si="53"/>
        <v>1093</v>
      </c>
      <c r="CU15" s="125" t="s">
        <v>575</v>
      </c>
      <c r="CV15" s="126" t="s">
        <v>569</v>
      </c>
      <c r="CW15" s="283">
        <v>13</v>
      </c>
      <c r="CX15" s="282">
        <f t="shared" si="54"/>
        <v>1560</v>
      </c>
      <c r="CY15" s="283">
        <v>0</v>
      </c>
      <c r="CZ15" s="282">
        <f t="shared" si="55"/>
        <v>0</v>
      </c>
    </row>
    <row r="16" spans="1:104" x14ac:dyDescent="0.25">
      <c r="A16" s="427">
        <f t="shared" si="0"/>
        <v>11</v>
      </c>
      <c r="B16" s="122">
        <v>31</v>
      </c>
      <c r="C16" s="123" t="s">
        <v>535</v>
      </c>
      <c r="D16" s="123" t="s">
        <v>536</v>
      </c>
      <c r="E16" s="123" t="s">
        <v>537</v>
      </c>
      <c r="F16" s="123" t="s">
        <v>538</v>
      </c>
      <c r="G16" s="122" t="s">
        <v>31</v>
      </c>
      <c r="H16" s="124"/>
      <c r="I16" s="450">
        <f t="shared" si="56"/>
        <v>8535</v>
      </c>
      <c r="J16" s="281"/>
      <c r="K16" s="138"/>
      <c r="L16" s="264">
        <v>0.4381944444444445</v>
      </c>
      <c r="M16" s="258">
        <f t="shared" si="1"/>
        <v>105</v>
      </c>
      <c r="N16" s="279">
        <f t="shared" si="2"/>
        <v>0</v>
      </c>
      <c r="O16" s="259">
        <f t="shared" si="3"/>
        <v>0.51111111111111118</v>
      </c>
      <c r="P16" s="263">
        <f t="shared" si="4"/>
        <v>0.51111111111111118</v>
      </c>
      <c r="Q16" s="128">
        <f t="shared" si="5"/>
        <v>0</v>
      </c>
      <c r="R16" s="266">
        <f t="shared" si="6"/>
        <v>0</v>
      </c>
      <c r="S16" s="136">
        <f t="shared" si="7"/>
        <v>140</v>
      </c>
      <c r="T16" s="280">
        <f t="shared" si="8"/>
        <v>1</v>
      </c>
      <c r="U16" s="260">
        <f t="shared" si="9"/>
        <v>0.60833333333333339</v>
      </c>
      <c r="V16" s="261">
        <v>0.63472222222222219</v>
      </c>
      <c r="W16" s="262">
        <f t="shared" si="10"/>
        <v>38</v>
      </c>
      <c r="X16" s="267">
        <f t="shared" si="11"/>
        <v>2220</v>
      </c>
      <c r="Y16" s="136">
        <f t="shared" si="12"/>
        <v>95</v>
      </c>
      <c r="Z16" s="280">
        <f t="shared" si="13"/>
        <v>0</v>
      </c>
      <c r="AA16" s="260">
        <f t="shared" si="14"/>
        <v>0.70138888888888884</v>
      </c>
      <c r="AB16" s="128">
        <f t="shared" si="15"/>
        <v>10</v>
      </c>
      <c r="AC16" s="261">
        <v>0.70972222222222225</v>
      </c>
      <c r="AD16" s="262">
        <f t="shared" si="16"/>
        <v>12</v>
      </c>
      <c r="AE16" s="266">
        <f t="shared" si="17"/>
        <v>720</v>
      </c>
      <c r="AF16" s="261" t="s">
        <v>430</v>
      </c>
      <c r="AG16" s="266">
        <f t="shared" si="18"/>
        <v>0</v>
      </c>
      <c r="AH16" s="136">
        <f t="shared" si="19"/>
        <v>0</v>
      </c>
      <c r="AI16" s="128">
        <f t="shared" si="20"/>
        <v>0</v>
      </c>
      <c r="AJ16" s="129">
        <f t="shared" si="21"/>
        <v>0.51111111111111118</v>
      </c>
      <c r="AK16" s="137">
        <v>0.52569444444444446</v>
      </c>
      <c r="AL16" s="134"/>
      <c r="AM16" s="128">
        <f t="shared" si="22"/>
        <v>21</v>
      </c>
      <c r="AN16" s="268">
        <f t="shared" si="23"/>
        <v>0</v>
      </c>
      <c r="AO16" s="278"/>
      <c r="AP16" s="103">
        <f t="shared" si="24"/>
        <v>0.4381944444444445</v>
      </c>
      <c r="AQ16" s="132">
        <f t="shared" si="25"/>
        <v>0</v>
      </c>
      <c r="AR16" s="128">
        <f t="shared" si="26"/>
        <v>2503</v>
      </c>
      <c r="AS16" s="103">
        <f t="shared" si="27"/>
        <v>0.4671643518518519</v>
      </c>
      <c r="AT16" s="135">
        <v>0.47758101851851853</v>
      </c>
      <c r="AU16" s="133">
        <f t="shared" si="28"/>
        <v>900</v>
      </c>
      <c r="AV16" s="134"/>
      <c r="AW16" s="270">
        <f t="shared" si="58"/>
        <v>900</v>
      </c>
      <c r="AX16" s="127"/>
      <c r="AY16" s="130">
        <v>0.5131944444444444</v>
      </c>
      <c r="AZ16" s="132">
        <f t="shared" si="29"/>
        <v>0</v>
      </c>
      <c r="BA16" s="128">
        <f t="shared" si="30"/>
        <v>409</v>
      </c>
      <c r="BB16" s="128">
        <f t="shared" si="31"/>
        <v>570</v>
      </c>
      <c r="BC16" s="103">
        <f t="shared" si="32"/>
        <v>0.51979166666666665</v>
      </c>
      <c r="BD16" s="135">
        <v>0.51973379629629635</v>
      </c>
      <c r="BE16" s="133">
        <f t="shared" si="33"/>
        <v>-5</v>
      </c>
      <c r="BF16" s="134"/>
      <c r="BG16" s="270">
        <f t="shared" si="34"/>
        <v>0</v>
      </c>
      <c r="BH16" s="127">
        <v>0.55347222222222225</v>
      </c>
      <c r="BI16" s="130">
        <v>0.5541666666666667</v>
      </c>
      <c r="BJ16" s="132">
        <f t="shared" si="35"/>
        <v>1</v>
      </c>
      <c r="BK16" s="128">
        <f t="shared" si="36"/>
        <v>455</v>
      </c>
      <c r="BL16" s="128">
        <f t="shared" si="37"/>
        <v>670</v>
      </c>
      <c r="BM16" s="103">
        <f t="shared" si="38"/>
        <v>0.56192129629629628</v>
      </c>
      <c r="BN16" s="135">
        <v>0.56226851851851845</v>
      </c>
      <c r="BO16" s="133">
        <f t="shared" si="39"/>
        <v>30</v>
      </c>
      <c r="BP16" s="134"/>
      <c r="BQ16" s="270">
        <f t="shared" si="57"/>
        <v>30</v>
      </c>
      <c r="BR16" s="127"/>
      <c r="BS16" s="130">
        <v>0.58611111111111114</v>
      </c>
      <c r="BT16" s="132">
        <f t="shared" si="40"/>
        <v>0</v>
      </c>
      <c r="BU16" s="128">
        <f t="shared" si="41"/>
        <v>1936</v>
      </c>
      <c r="BV16" s="103">
        <f t="shared" si="42"/>
        <v>0.60851851851851857</v>
      </c>
      <c r="BW16" s="135">
        <v>0.6199189814814815</v>
      </c>
      <c r="BX16" s="133">
        <f t="shared" si="43"/>
        <v>985</v>
      </c>
      <c r="BY16" s="134"/>
      <c r="BZ16" s="270">
        <f t="shared" si="44"/>
        <v>985</v>
      </c>
      <c r="CA16" s="278"/>
      <c r="CB16" s="130">
        <v>0.63541666666666663</v>
      </c>
      <c r="CC16" s="132">
        <f t="shared" si="45"/>
        <v>0</v>
      </c>
      <c r="CD16" s="128">
        <f t="shared" si="46"/>
        <v>1899</v>
      </c>
      <c r="CE16" s="103">
        <f t="shared" si="47"/>
        <v>0.65739583333333329</v>
      </c>
      <c r="CF16" s="135">
        <v>0.66288194444444437</v>
      </c>
      <c r="CG16" s="133">
        <f t="shared" si="48"/>
        <v>474</v>
      </c>
      <c r="CH16" s="134"/>
      <c r="CI16" s="270">
        <f t="shared" si="59"/>
        <v>474</v>
      </c>
      <c r="CJ16" s="278"/>
      <c r="CK16" s="263">
        <f t="shared" si="50"/>
        <v>0.70972222222222225</v>
      </c>
      <c r="CL16" s="132">
        <f t="shared" si="51"/>
        <v>0</v>
      </c>
      <c r="CM16" s="131">
        <v>60</v>
      </c>
      <c r="CN16" s="440">
        <v>168.63</v>
      </c>
      <c r="CO16" s="147">
        <f t="shared" si="52"/>
        <v>108.6</v>
      </c>
      <c r="CP16" s="134"/>
      <c r="CQ16" s="134"/>
      <c r="CR16" s="134"/>
      <c r="CS16" s="134">
        <v>4</v>
      </c>
      <c r="CT16" s="270">
        <f t="shared" si="53"/>
        <v>1886</v>
      </c>
      <c r="CU16" s="125" t="s">
        <v>595</v>
      </c>
      <c r="CV16" s="126" t="s">
        <v>569</v>
      </c>
      <c r="CW16" s="283">
        <v>11</v>
      </c>
      <c r="CX16" s="282">
        <f t="shared" si="54"/>
        <v>1320</v>
      </c>
      <c r="CY16" s="283">
        <v>0</v>
      </c>
      <c r="CZ16" s="282">
        <f t="shared" si="55"/>
        <v>0</v>
      </c>
    </row>
    <row r="17" spans="1:104" x14ac:dyDescent="0.25">
      <c r="A17" s="427">
        <f t="shared" si="0"/>
        <v>12</v>
      </c>
      <c r="B17" s="122">
        <v>10</v>
      </c>
      <c r="C17" s="123" t="s">
        <v>568</v>
      </c>
      <c r="D17" s="123" t="s">
        <v>132</v>
      </c>
      <c r="E17" s="123" t="s">
        <v>133</v>
      </c>
      <c r="F17" s="123" t="s">
        <v>134</v>
      </c>
      <c r="G17" s="122" t="s">
        <v>31</v>
      </c>
      <c r="H17" s="124"/>
      <c r="I17" s="450">
        <f t="shared" si="56"/>
        <v>9328</v>
      </c>
      <c r="J17" s="281"/>
      <c r="K17" s="138"/>
      <c r="L17" s="264">
        <v>0.4236111111111111</v>
      </c>
      <c r="M17" s="258">
        <f t="shared" si="1"/>
        <v>105</v>
      </c>
      <c r="N17" s="279">
        <f t="shared" si="2"/>
        <v>0</v>
      </c>
      <c r="O17" s="259">
        <f t="shared" si="3"/>
        <v>0.49652777777777779</v>
      </c>
      <c r="P17" s="263">
        <f t="shared" si="4"/>
        <v>0.49652777777777779</v>
      </c>
      <c r="Q17" s="128">
        <f t="shared" si="5"/>
        <v>0</v>
      </c>
      <c r="R17" s="266">
        <f t="shared" si="6"/>
        <v>0</v>
      </c>
      <c r="S17" s="136">
        <f t="shared" si="7"/>
        <v>140</v>
      </c>
      <c r="T17" s="280">
        <f t="shared" si="8"/>
        <v>4</v>
      </c>
      <c r="U17" s="260">
        <f t="shared" si="9"/>
        <v>0.59375</v>
      </c>
      <c r="V17" s="261">
        <v>0.61944444444444446</v>
      </c>
      <c r="W17" s="262">
        <f t="shared" si="10"/>
        <v>37</v>
      </c>
      <c r="X17" s="267">
        <f t="shared" si="11"/>
        <v>1980</v>
      </c>
      <c r="Y17" s="136">
        <f t="shared" si="12"/>
        <v>95</v>
      </c>
      <c r="Z17" s="280">
        <f t="shared" si="13"/>
        <v>0</v>
      </c>
      <c r="AA17" s="260">
        <f t="shared" si="14"/>
        <v>0.6875</v>
      </c>
      <c r="AB17" s="128">
        <f t="shared" si="15"/>
        <v>10</v>
      </c>
      <c r="AC17" s="261">
        <v>0.69861111111111107</v>
      </c>
      <c r="AD17" s="262">
        <f t="shared" si="16"/>
        <v>16</v>
      </c>
      <c r="AE17" s="266">
        <f t="shared" si="17"/>
        <v>960</v>
      </c>
      <c r="AF17" s="261" t="s">
        <v>430</v>
      </c>
      <c r="AG17" s="266">
        <f t="shared" si="18"/>
        <v>0</v>
      </c>
      <c r="AH17" s="136">
        <f t="shared" si="19"/>
        <v>0</v>
      </c>
      <c r="AI17" s="128">
        <f t="shared" si="20"/>
        <v>0</v>
      </c>
      <c r="AJ17" s="129">
        <f t="shared" si="21"/>
        <v>0.49652777777777779</v>
      </c>
      <c r="AK17" s="137">
        <v>0.51250000000000007</v>
      </c>
      <c r="AL17" s="134"/>
      <c r="AM17" s="128">
        <f t="shared" si="22"/>
        <v>23</v>
      </c>
      <c r="AN17" s="268">
        <f t="shared" si="23"/>
        <v>0</v>
      </c>
      <c r="AO17" s="278"/>
      <c r="AP17" s="103">
        <f t="shared" si="24"/>
        <v>0.4236111111111111</v>
      </c>
      <c r="AQ17" s="132">
        <f t="shared" si="25"/>
        <v>0</v>
      </c>
      <c r="AR17" s="128">
        <f t="shared" si="26"/>
        <v>2503</v>
      </c>
      <c r="AS17" s="103">
        <f t="shared" si="27"/>
        <v>0.45258101851851851</v>
      </c>
      <c r="AT17" s="135">
        <v>0.4884722222222222</v>
      </c>
      <c r="AU17" s="133">
        <f t="shared" si="28"/>
        <v>3101</v>
      </c>
      <c r="AV17" s="134"/>
      <c r="AW17" s="270">
        <f t="shared" si="58"/>
        <v>3101</v>
      </c>
      <c r="AX17" s="127"/>
      <c r="AY17" s="130">
        <v>0.50208333333333333</v>
      </c>
      <c r="AZ17" s="132">
        <f t="shared" si="29"/>
        <v>0</v>
      </c>
      <c r="BA17" s="128">
        <f t="shared" si="30"/>
        <v>409</v>
      </c>
      <c r="BB17" s="128">
        <f t="shared" si="31"/>
        <v>570</v>
      </c>
      <c r="BC17" s="103">
        <f t="shared" si="32"/>
        <v>0.50868055555555558</v>
      </c>
      <c r="BD17" s="135">
        <v>0.50787037037037031</v>
      </c>
      <c r="BE17" s="133">
        <f t="shared" si="33"/>
        <v>-70</v>
      </c>
      <c r="BF17" s="134"/>
      <c r="BG17" s="270">
        <f t="shared" si="34"/>
        <v>0</v>
      </c>
      <c r="BH17" s="127">
        <v>0.5395833333333333</v>
      </c>
      <c r="BI17" s="130">
        <v>0.54097222222222219</v>
      </c>
      <c r="BJ17" s="132">
        <f t="shared" si="35"/>
        <v>2</v>
      </c>
      <c r="BK17" s="128">
        <f t="shared" si="36"/>
        <v>455</v>
      </c>
      <c r="BL17" s="128">
        <f t="shared" si="37"/>
        <v>670</v>
      </c>
      <c r="BM17" s="103">
        <f t="shared" si="38"/>
        <v>0.54872685185185177</v>
      </c>
      <c r="BN17" s="135">
        <v>0.54893518518518525</v>
      </c>
      <c r="BO17" s="133">
        <f t="shared" si="39"/>
        <v>18</v>
      </c>
      <c r="BP17" s="134"/>
      <c r="BQ17" s="270">
        <f t="shared" si="57"/>
        <v>18</v>
      </c>
      <c r="BR17" s="127">
        <v>0.5756944444444444</v>
      </c>
      <c r="BS17" s="130">
        <v>0.57708333333333328</v>
      </c>
      <c r="BT17" s="132">
        <f t="shared" si="40"/>
        <v>2</v>
      </c>
      <c r="BU17" s="128">
        <f t="shared" si="41"/>
        <v>1936</v>
      </c>
      <c r="BV17" s="103">
        <f t="shared" si="42"/>
        <v>0.59949074074074071</v>
      </c>
      <c r="BW17" s="135">
        <v>0.60603009259259266</v>
      </c>
      <c r="BX17" s="133">
        <f t="shared" si="43"/>
        <v>565</v>
      </c>
      <c r="BY17" s="134"/>
      <c r="BZ17" s="270">
        <f t="shared" si="44"/>
        <v>565</v>
      </c>
      <c r="CA17" s="278"/>
      <c r="CB17" s="130">
        <v>0.62152777777777779</v>
      </c>
      <c r="CC17" s="132">
        <f t="shared" si="45"/>
        <v>0</v>
      </c>
      <c r="CD17" s="128">
        <f t="shared" si="46"/>
        <v>1899</v>
      </c>
      <c r="CE17" s="103">
        <f t="shared" si="47"/>
        <v>0.64350694444444445</v>
      </c>
      <c r="CF17" s="135">
        <v>0.6502430555555555</v>
      </c>
      <c r="CG17" s="133">
        <f t="shared" si="48"/>
        <v>582</v>
      </c>
      <c r="CH17" s="134"/>
      <c r="CI17" s="270">
        <f t="shared" si="59"/>
        <v>582</v>
      </c>
      <c r="CJ17" s="278"/>
      <c r="CK17" s="263">
        <f t="shared" si="50"/>
        <v>0.69861111111111107</v>
      </c>
      <c r="CL17" s="132">
        <f t="shared" si="51"/>
        <v>0</v>
      </c>
      <c r="CM17" s="131">
        <v>60</v>
      </c>
      <c r="CN17" s="440">
        <v>132.22999999999999</v>
      </c>
      <c r="CO17" s="147">
        <f t="shared" si="52"/>
        <v>72.2</v>
      </c>
      <c r="CP17" s="134"/>
      <c r="CQ17" s="134"/>
      <c r="CR17" s="134"/>
      <c r="CS17" s="134">
        <v>1</v>
      </c>
      <c r="CT17" s="270">
        <f t="shared" si="53"/>
        <v>922</v>
      </c>
      <c r="CU17" s="125" t="s">
        <v>578</v>
      </c>
      <c r="CV17" s="126" t="s">
        <v>569</v>
      </c>
      <c r="CW17" s="283">
        <v>10</v>
      </c>
      <c r="CX17" s="282">
        <f t="shared" si="54"/>
        <v>1200</v>
      </c>
      <c r="CY17" s="283">
        <v>0</v>
      </c>
      <c r="CZ17" s="282">
        <f t="shared" si="55"/>
        <v>0</v>
      </c>
    </row>
    <row r="18" spans="1:104" x14ac:dyDescent="0.25">
      <c r="A18" s="427">
        <f t="shared" si="0"/>
        <v>13</v>
      </c>
      <c r="B18" s="122">
        <v>14</v>
      </c>
      <c r="C18" s="123" t="s">
        <v>479</v>
      </c>
      <c r="D18" s="123" t="s">
        <v>480</v>
      </c>
      <c r="E18" s="123" t="s">
        <v>174</v>
      </c>
      <c r="F18" s="123" t="s">
        <v>175</v>
      </c>
      <c r="G18" s="122" t="s">
        <v>31</v>
      </c>
      <c r="H18" s="124"/>
      <c r="I18" s="450">
        <f t="shared" si="56"/>
        <v>9936.9</v>
      </c>
      <c r="J18" s="281"/>
      <c r="K18" s="138"/>
      <c r="L18" s="264">
        <v>0.42638888888888887</v>
      </c>
      <c r="M18" s="258">
        <f t="shared" si="1"/>
        <v>105</v>
      </c>
      <c r="N18" s="279">
        <f t="shared" si="2"/>
        <v>0</v>
      </c>
      <c r="O18" s="259">
        <f t="shared" si="3"/>
        <v>0.49930555555555556</v>
      </c>
      <c r="P18" s="263">
        <f t="shared" si="4"/>
        <v>0.49930555555555556</v>
      </c>
      <c r="Q18" s="128">
        <f t="shared" si="5"/>
        <v>0</v>
      </c>
      <c r="R18" s="266">
        <f t="shared" si="6"/>
        <v>0</v>
      </c>
      <c r="S18" s="136">
        <f t="shared" si="7"/>
        <v>140</v>
      </c>
      <c r="T18" s="280">
        <f t="shared" si="8"/>
        <v>0</v>
      </c>
      <c r="U18" s="260">
        <f t="shared" si="9"/>
        <v>0.59652777777777777</v>
      </c>
      <c r="V18" s="261">
        <v>0.64027777777777783</v>
      </c>
      <c r="W18" s="262">
        <f t="shared" si="10"/>
        <v>63</v>
      </c>
      <c r="X18" s="267">
        <f t="shared" si="11"/>
        <v>3780</v>
      </c>
      <c r="Y18" s="136">
        <f t="shared" si="12"/>
        <v>95</v>
      </c>
      <c r="Z18" s="280">
        <f t="shared" si="13"/>
        <v>0</v>
      </c>
      <c r="AA18" s="260">
        <f t="shared" si="14"/>
        <v>0.70763888888888893</v>
      </c>
      <c r="AB18" s="128">
        <f t="shared" si="15"/>
        <v>10</v>
      </c>
      <c r="AC18" s="261">
        <v>0.7006944444444444</v>
      </c>
      <c r="AD18" s="262">
        <f t="shared" si="16"/>
        <v>-10</v>
      </c>
      <c r="AE18" s="266">
        <f t="shared" si="17"/>
        <v>0</v>
      </c>
      <c r="AF18" s="261" t="s">
        <v>430</v>
      </c>
      <c r="AG18" s="266">
        <f t="shared" si="18"/>
        <v>0</v>
      </c>
      <c r="AH18" s="136">
        <f t="shared" si="19"/>
        <v>0</v>
      </c>
      <c r="AI18" s="128">
        <f t="shared" si="20"/>
        <v>0</v>
      </c>
      <c r="AJ18" s="129">
        <f t="shared" si="21"/>
        <v>0.49930555555555556</v>
      </c>
      <c r="AK18" s="137">
        <v>0.52500000000000002</v>
      </c>
      <c r="AL18" s="134"/>
      <c r="AM18" s="128">
        <f t="shared" si="22"/>
        <v>37</v>
      </c>
      <c r="AN18" s="268">
        <f t="shared" si="23"/>
        <v>0</v>
      </c>
      <c r="AO18" s="278"/>
      <c r="AP18" s="103">
        <f t="shared" si="24"/>
        <v>0.42638888888888887</v>
      </c>
      <c r="AQ18" s="132">
        <f t="shared" si="25"/>
        <v>0</v>
      </c>
      <c r="AR18" s="128">
        <f t="shared" si="26"/>
        <v>2503</v>
      </c>
      <c r="AS18" s="103">
        <f t="shared" si="27"/>
        <v>0.45535879629629628</v>
      </c>
      <c r="AT18" s="135"/>
      <c r="AU18" s="133">
        <f t="shared" si="28"/>
        <v>-39343</v>
      </c>
      <c r="AV18" s="134"/>
      <c r="AW18" s="441">
        <f>$AW$14*1.1</f>
        <v>735.90000000000009</v>
      </c>
      <c r="AX18" s="127"/>
      <c r="AY18" s="130">
        <v>0.51388888888888895</v>
      </c>
      <c r="AZ18" s="132">
        <f t="shared" si="29"/>
        <v>0</v>
      </c>
      <c r="BA18" s="128">
        <f t="shared" si="30"/>
        <v>409</v>
      </c>
      <c r="BB18" s="128">
        <f t="shared" si="31"/>
        <v>570</v>
      </c>
      <c r="BC18" s="103">
        <f t="shared" si="32"/>
        <v>0.5204861111111112</v>
      </c>
      <c r="BD18" s="135">
        <v>0.52013888888888882</v>
      </c>
      <c r="BE18" s="133">
        <f t="shared" si="33"/>
        <v>-30</v>
      </c>
      <c r="BF18" s="134"/>
      <c r="BG18" s="270">
        <f t="shared" si="34"/>
        <v>0</v>
      </c>
      <c r="BH18" s="127">
        <v>0.57222222222222219</v>
      </c>
      <c r="BI18" s="130">
        <v>0.57222222222222219</v>
      </c>
      <c r="BJ18" s="132">
        <f t="shared" si="35"/>
        <v>0</v>
      </c>
      <c r="BK18" s="128">
        <f t="shared" si="36"/>
        <v>455</v>
      </c>
      <c r="BL18" s="128">
        <f t="shared" si="37"/>
        <v>670</v>
      </c>
      <c r="BM18" s="103">
        <f t="shared" si="38"/>
        <v>0.57997685185185177</v>
      </c>
      <c r="BN18" s="135">
        <v>0.57887731481481486</v>
      </c>
      <c r="BO18" s="133">
        <f t="shared" si="39"/>
        <v>-95</v>
      </c>
      <c r="BP18" s="134"/>
      <c r="BQ18" s="270">
        <f t="shared" si="57"/>
        <v>0</v>
      </c>
      <c r="BR18" s="127"/>
      <c r="BS18" s="130">
        <v>0.60763888888888895</v>
      </c>
      <c r="BT18" s="132">
        <f t="shared" si="40"/>
        <v>0</v>
      </c>
      <c r="BU18" s="128">
        <f t="shared" si="41"/>
        <v>1936</v>
      </c>
      <c r="BV18" s="103">
        <f t="shared" si="42"/>
        <v>0.63004629629629638</v>
      </c>
      <c r="BW18" s="135">
        <v>0.61947916666666669</v>
      </c>
      <c r="BX18" s="133">
        <f t="shared" si="43"/>
        <v>-913</v>
      </c>
      <c r="BY18" s="134"/>
      <c r="BZ18" s="270">
        <f t="shared" si="44"/>
        <v>913</v>
      </c>
      <c r="CA18" s="278"/>
      <c r="CB18" s="130">
        <v>0.64166666666666672</v>
      </c>
      <c r="CC18" s="132">
        <f t="shared" si="45"/>
        <v>0</v>
      </c>
      <c r="CD18" s="128">
        <f t="shared" si="46"/>
        <v>1899</v>
      </c>
      <c r="CE18" s="103">
        <f t="shared" si="47"/>
        <v>0.66364583333333338</v>
      </c>
      <c r="CF18" s="135">
        <v>0.65510416666666671</v>
      </c>
      <c r="CG18" s="133">
        <f t="shared" si="48"/>
        <v>-738</v>
      </c>
      <c r="CH18" s="134"/>
      <c r="CI18" s="270">
        <f t="shared" si="59"/>
        <v>738</v>
      </c>
      <c r="CJ18" s="278"/>
      <c r="CK18" s="263">
        <f t="shared" si="50"/>
        <v>0.7006944444444444</v>
      </c>
      <c r="CL18" s="132">
        <f t="shared" si="51"/>
        <v>0</v>
      </c>
      <c r="CM18" s="131">
        <v>60</v>
      </c>
      <c r="CN18" s="440">
        <v>149</v>
      </c>
      <c r="CO18" s="147">
        <f t="shared" si="52"/>
        <v>89</v>
      </c>
      <c r="CP18" s="134"/>
      <c r="CQ18" s="134"/>
      <c r="CR18" s="134"/>
      <c r="CS18" s="134">
        <v>1</v>
      </c>
      <c r="CT18" s="270">
        <f t="shared" si="53"/>
        <v>1090</v>
      </c>
      <c r="CU18" s="125" t="s">
        <v>581</v>
      </c>
      <c r="CV18" s="126" t="s">
        <v>569</v>
      </c>
      <c r="CW18" s="283">
        <v>14</v>
      </c>
      <c r="CX18" s="282">
        <f t="shared" si="54"/>
        <v>1680</v>
      </c>
      <c r="CY18" s="283">
        <v>1</v>
      </c>
      <c r="CZ18" s="282">
        <f t="shared" si="55"/>
        <v>1000</v>
      </c>
    </row>
    <row r="19" spans="1:104" x14ac:dyDescent="0.25">
      <c r="A19" s="427">
        <f t="shared" si="0"/>
        <v>14</v>
      </c>
      <c r="B19" s="122">
        <v>15</v>
      </c>
      <c r="C19" s="123" t="s">
        <v>482</v>
      </c>
      <c r="D19" s="123" t="s">
        <v>483</v>
      </c>
      <c r="E19" s="123" t="s">
        <v>485</v>
      </c>
      <c r="F19" s="123" t="s">
        <v>173</v>
      </c>
      <c r="G19" s="122" t="s">
        <v>31</v>
      </c>
      <c r="H19" s="124"/>
      <c r="I19" s="450">
        <f t="shared" si="56"/>
        <v>10714.9</v>
      </c>
      <c r="J19" s="281"/>
      <c r="K19" s="138"/>
      <c r="L19" s="264">
        <v>0.42708333333333331</v>
      </c>
      <c r="M19" s="258">
        <f t="shared" si="1"/>
        <v>105</v>
      </c>
      <c r="N19" s="279">
        <f t="shared" si="2"/>
        <v>0</v>
      </c>
      <c r="O19" s="259">
        <f t="shared" si="3"/>
        <v>0.5</v>
      </c>
      <c r="P19" s="263">
        <f t="shared" si="4"/>
        <v>0.5</v>
      </c>
      <c r="Q19" s="128">
        <f t="shared" si="5"/>
        <v>0</v>
      </c>
      <c r="R19" s="266">
        <f t="shared" si="6"/>
        <v>0</v>
      </c>
      <c r="S19" s="136">
        <f t="shared" si="7"/>
        <v>140</v>
      </c>
      <c r="T19" s="280">
        <f t="shared" si="8"/>
        <v>9</v>
      </c>
      <c r="U19" s="260">
        <f t="shared" si="9"/>
        <v>0.59722222222222221</v>
      </c>
      <c r="V19" s="261">
        <v>0.61111111111111105</v>
      </c>
      <c r="W19" s="262">
        <f t="shared" si="10"/>
        <v>20</v>
      </c>
      <c r="X19" s="267">
        <f t="shared" si="11"/>
        <v>660</v>
      </c>
      <c r="Y19" s="136">
        <f t="shared" si="12"/>
        <v>95</v>
      </c>
      <c r="Z19" s="280">
        <f t="shared" si="13"/>
        <v>0</v>
      </c>
      <c r="AA19" s="260">
        <f t="shared" si="14"/>
        <v>0.67847222222222214</v>
      </c>
      <c r="AB19" s="128">
        <f t="shared" si="15"/>
        <v>10</v>
      </c>
      <c r="AC19" s="261">
        <v>0.70763888888888893</v>
      </c>
      <c r="AD19" s="262">
        <f t="shared" si="16"/>
        <v>42</v>
      </c>
      <c r="AE19" s="266">
        <f t="shared" si="17"/>
        <v>2520</v>
      </c>
      <c r="AF19" s="261"/>
      <c r="AG19" s="266">
        <f t="shared" si="18"/>
        <v>300</v>
      </c>
      <c r="AH19" s="136">
        <f t="shared" si="19"/>
        <v>0</v>
      </c>
      <c r="AI19" s="128">
        <f t="shared" si="20"/>
        <v>0</v>
      </c>
      <c r="AJ19" s="129">
        <f t="shared" si="21"/>
        <v>0.5</v>
      </c>
      <c r="AK19" s="137">
        <v>0.51041666666666663</v>
      </c>
      <c r="AL19" s="134"/>
      <c r="AM19" s="128">
        <f t="shared" si="22"/>
        <v>15</v>
      </c>
      <c r="AN19" s="268">
        <f t="shared" si="23"/>
        <v>0</v>
      </c>
      <c r="AO19" s="278"/>
      <c r="AP19" s="103">
        <f t="shared" si="24"/>
        <v>0.42708333333333331</v>
      </c>
      <c r="AQ19" s="132">
        <f t="shared" si="25"/>
        <v>0</v>
      </c>
      <c r="AR19" s="128">
        <f t="shared" si="26"/>
        <v>2503</v>
      </c>
      <c r="AS19" s="103">
        <f t="shared" si="27"/>
        <v>0.45605324074074072</v>
      </c>
      <c r="AT19" s="135"/>
      <c r="AU19" s="133">
        <f t="shared" si="28"/>
        <v>-39403</v>
      </c>
      <c r="AV19" s="134"/>
      <c r="AW19" s="441">
        <f>$AW$14*1.1</f>
        <v>735.90000000000009</v>
      </c>
      <c r="AX19" s="127"/>
      <c r="AY19" s="130">
        <v>0.5</v>
      </c>
      <c r="AZ19" s="132">
        <f t="shared" si="29"/>
        <v>0</v>
      </c>
      <c r="BA19" s="128">
        <f t="shared" si="30"/>
        <v>409</v>
      </c>
      <c r="BB19" s="128">
        <f t="shared" si="31"/>
        <v>570</v>
      </c>
      <c r="BC19" s="103">
        <f t="shared" si="32"/>
        <v>0.50659722222222225</v>
      </c>
      <c r="BD19" s="135">
        <v>0.50548611111111108</v>
      </c>
      <c r="BE19" s="133">
        <f t="shared" si="33"/>
        <v>-96</v>
      </c>
      <c r="BF19" s="134"/>
      <c r="BG19" s="270">
        <f t="shared" si="34"/>
        <v>0</v>
      </c>
      <c r="BH19" s="127">
        <v>0.52777777777777779</v>
      </c>
      <c r="BI19" s="130">
        <v>0.52916666666666667</v>
      </c>
      <c r="BJ19" s="132">
        <f t="shared" si="35"/>
        <v>2</v>
      </c>
      <c r="BK19" s="128">
        <f t="shared" si="36"/>
        <v>455</v>
      </c>
      <c r="BL19" s="128">
        <f t="shared" si="37"/>
        <v>670</v>
      </c>
      <c r="BM19" s="103">
        <f t="shared" si="38"/>
        <v>0.53692129629629626</v>
      </c>
      <c r="BN19" s="135">
        <v>0.53703703703703709</v>
      </c>
      <c r="BO19" s="133">
        <f t="shared" si="39"/>
        <v>10</v>
      </c>
      <c r="BP19" s="134"/>
      <c r="BQ19" s="270">
        <f t="shared" si="57"/>
        <v>10</v>
      </c>
      <c r="BR19" s="127">
        <v>0.57291666666666663</v>
      </c>
      <c r="BS19" s="130">
        <v>0.57777777777777783</v>
      </c>
      <c r="BT19" s="132">
        <f t="shared" si="40"/>
        <v>7</v>
      </c>
      <c r="BU19" s="128">
        <f t="shared" si="41"/>
        <v>1936</v>
      </c>
      <c r="BV19" s="103">
        <f t="shared" si="42"/>
        <v>0.60018518518518527</v>
      </c>
      <c r="BW19" s="135">
        <v>0.59244212962962961</v>
      </c>
      <c r="BX19" s="133">
        <f t="shared" si="43"/>
        <v>-669</v>
      </c>
      <c r="BY19" s="134"/>
      <c r="BZ19" s="270">
        <f t="shared" si="44"/>
        <v>669</v>
      </c>
      <c r="CA19" s="278"/>
      <c r="CB19" s="130">
        <v>0.61249999999999993</v>
      </c>
      <c r="CC19" s="132">
        <f t="shared" si="45"/>
        <v>0</v>
      </c>
      <c r="CD19" s="128">
        <f t="shared" si="46"/>
        <v>1899</v>
      </c>
      <c r="CE19" s="103">
        <f t="shared" si="47"/>
        <v>0.63447916666666659</v>
      </c>
      <c r="CF19" s="135">
        <v>0.66746527777777775</v>
      </c>
      <c r="CG19" s="133">
        <f t="shared" si="48"/>
        <v>2850</v>
      </c>
      <c r="CH19" s="134"/>
      <c r="CI19" s="270">
        <f t="shared" si="59"/>
        <v>2850</v>
      </c>
      <c r="CJ19" s="278"/>
      <c r="CK19" s="263">
        <f t="shared" si="50"/>
        <v>0.70763888888888893</v>
      </c>
      <c r="CL19" s="132">
        <f t="shared" si="51"/>
        <v>0</v>
      </c>
      <c r="CM19" s="131">
        <v>60</v>
      </c>
      <c r="CN19" s="440">
        <v>188.95</v>
      </c>
      <c r="CO19" s="147">
        <f t="shared" si="52"/>
        <v>129</v>
      </c>
      <c r="CP19" s="134"/>
      <c r="CQ19" s="134"/>
      <c r="CR19" s="134"/>
      <c r="CS19" s="134"/>
      <c r="CT19" s="270">
        <f t="shared" si="53"/>
        <v>1290</v>
      </c>
      <c r="CU19" s="125" t="s">
        <v>583</v>
      </c>
      <c r="CV19" s="126" t="s">
        <v>569</v>
      </c>
      <c r="CW19" s="283">
        <v>14</v>
      </c>
      <c r="CX19" s="282">
        <f t="shared" si="54"/>
        <v>1680</v>
      </c>
      <c r="CY19" s="283">
        <v>0</v>
      </c>
      <c r="CZ19" s="282">
        <f t="shared" si="55"/>
        <v>0</v>
      </c>
    </row>
    <row r="20" spans="1:104" x14ac:dyDescent="0.25">
      <c r="A20" s="427">
        <f t="shared" si="0"/>
        <v>15</v>
      </c>
      <c r="B20" s="122">
        <v>18</v>
      </c>
      <c r="C20" s="123" t="s">
        <v>491</v>
      </c>
      <c r="D20" s="123" t="s">
        <v>492</v>
      </c>
      <c r="E20" s="123" t="s">
        <v>494</v>
      </c>
      <c r="F20" s="123" t="s">
        <v>176</v>
      </c>
      <c r="G20" s="122" t="s">
        <v>31</v>
      </c>
      <c r="H20" s="124"/>
      <c r="I20" s="450">
        <f t="shared" si="56"/>
        <v>10776</v>
      </c>
      <c r="J20" s="281"/>
      <c r="K20" s="138"/>
      <c r="L20" s="264">
        <v>0.4291666666666667</v>
      </c>
      <c r="M20" s="258">
        <f t="shared" si="1"/>
        <v>105</v>
      </c>
      <c r="N20" s="279">
        <f t="shared" si="2"/>
        <v>0</v>
      </c>
      <c r="O20" s="259">
        <f t="shared" si="3"/>
        <v>0.50208333333333333</v>
      </c>
      <c r="P20" s="263">
        <f t="shared" si="4"/>
        <v>0.50208333333333333</v>
      </c>
      <c r="Q20" s="128">
        <f t="shared" si="5"/>
        <v>0</v>
      </c>
      <c r="R20" s="266">
        <f t="shared" si="6"/>
        <v>0</v>
      </c>
      <c r="S20" s="136">
        <f t="shared" si="7"/>
        <v>140</v>
      </c>
      <c r="T20" s="280">
        <f t="shared" si="8"/>
        <v>0</v>
      </c>
      <c r="U20" s="260">
        <f t="shared" si="9"/>
        <v>0.59930555555555554</v>
      </c>
      <c r="V20" s="261">
        <v>0.63055555555555554</v>
      </c>
      <c r="W20" s="262">
        <f t="shared" si="10"/>
        <v>45</v>
      </c>
      <c r="X20" s="267">
        <f t="shared" si="11"/>
        <v>2700</v>
      </c>
      <c r="Y20" s="136">
        <f t="shared" si="12"/>
        <v>95</v>
      </c>
      <c r="Z20" s="280">
        <f t="shared" si="13"/>
        <v>0</v>
      </c>
      <c r="AA20" s="260">
        <f t="shared" si="14"/>
        <v>0.69722222222222219</v>
      </c>
      <c r="AB20" s="128">
        <f t="shared" si="15"/>
        <v>10</v>
      </c>
      <c r="AC20" s="261">
        <v>0.72361111111111109</v>
      </c>
      <c r="AD20" s="262">
        <f t="shared" si="16"/>
        <v>38</v>
      </c>
      <c r="AE20" s="266">
        <f t="shared" si="17"/>
        <v>2280</v>
      </c>
      <c r="AF20" s="261" t="s">
        <v>430</v>
      </c>
      <c r="AG20" s="266">
        <f t="shared" si="18"/>
        <v>0</v>
      </c>
      <c r="AH20" s="136">
        <f t="shared" si="19"/>
        <v>0</v>
      </c>
      <c r="AI20" s="128">
        <f t="shared" si="20"/>
        <v>0</v>
      </c>
      <c r="AJ20" s="129">
        <f t="shared" si="21"/>
        <v>0.50208333333333333</v>
      </c>
      <c r="AK20" s="137">
        <v>0.52569444444444446</v>
      </c>
      <c r="AL20" s="134"/>
      <c r="AM20" s="128">
        <f t="shared" si="22"/>
        <v>34</v>
      </c>
      <c r="AN20" s="268">
        <f t="shared" si="23"/>
        <v>0</v>
      </c>
      <c r="AO20" s="278"/>
      <c r="AP20" s="103">
        <f t="shared" si="24"/>
        <v>0.4291666666666667</v>
      </c>
      <c r="AQ20" s="132">
        <f t="shared" si="25"/>
        <v>0</v>
      </c>
      <c r="AR20" s="128">
        <f t="shared" si="26"/>
        <v>2503</v>
      </c>
      <c r="AS20" s="103">
        <f t="shared" si="27"/>
        <v>0.4581365740740741</v>
      </c>
      <c r="AT20" s="135">
        <v>0.46281250000000002</v>
      </c>
      <c r="AU20" s="133">
        <f t="shared" si="28"/>
        <v>404</v>
      </c>
      <c r="AV20" s="134"/>
      <c r="AW20" s="270">
        <f t="shared" ref="AW20:AW25" si="60">IF(NOT(OR(ISBLANK(AP20),ISBLANK(AT20))),ABS(AU20)*ШтрафОпережениеОтставаниеНаРД+IF(ISBLANK(AV20),0,ШтрафФальстартНаДС),"!!!ВРУЧНУЮ!!!")</f>
        <v>404</v>
      </c>
      <c r="AX20" s="127"/>
      <c r="AY20" s="130">
        <v>0.51527777777777783</v>
      </c>
      <c r="AZ20" s="132">
        <f t="shared" si="29"/>
        <v>0</v>
      </c>
      <c r="BA20" s="128">
        <f t="shared" si="30"/>
        <v>409</v>
      </c>
      <c r="BB20" s="128">
        <f t="shared" si="31"/>
        <v>570</v>
      </c>
      <c r="BC20" s="103">
        <f t="shared" si="32"/>
        <v>0.52187500000000009</v>
      </c>
      <c r="BD20" s="135">
        <v>0.52048611111111109</v>
      </c>
      <c r="BE20" s="133">
        <f t="shared" si="33"/>
        <v>-120</v>
      </c>
      <c r="BF20" s="134"/>
      <c r="BG20" s="270">
        <f t="shared" si="34"/>
        <v>0</v>
      </c>
      <c r="BH20" s="127"/>
      <c r="BI20" s="443">
        <v>0.57361111111111118</v>
      </c>
      <c r="BJ20" s="132">
        <f t="shared" si="35"/>
        <v>0</v>
      </c>
      <c r="BK20" s="128">
        <f t="shared" si="36"/>
        <v>455</v>
      </c>
      <c r="BL20" s="128">
        <f t="shared" si="37"/>
        <v>670</v>
      </c>
      <c r="BM20" s="103">
        <f t="shared" si="38"/>
        <v>0.58136574074074077</v>
      </c>
      <c r="BN20" s="135">
        <v>0.57754629629629628</v>
      </c>
      <c r="BO20" s="133">
        <f t="shared" si="39"/>
        <v>-330</v>
      </c>
      <c r="BP20" s="134"/>
      <c r="BQ20" s="270">
        <f t="shared" si="57"/>
        <v>180</v>
      </c>
      <c r="BR20" s="127"/>
      <c r="BS20" s="130">
        <v>0.60138888888888886</v>
      </c>
      <c r="BT20" s="132">
        <f t="shared" si="40"/>
        <v>0</v>
      </c>
      <c r="BU20" s="128">
        <f t="shared" si="41"/>
        <v>1936</v>
      </c>
      <c r="BV20" s="103">
        <f t="shared" si="42"/>
        <v>0.62379629629629629</v>
      </c>
      <c r="BW20" s="135">
        <v>0.61556712962962956</v>
      </c>
      <c r="BX20" s="133">
        <f t="shared" si="43"/>
        <v>-711</v>
      </c>
      <c r="BY20" s="134"/>
      <c r="BZ20" s="270">
        <f t="shared" si="44"/>
        <v>711</v>
      </c>
      <c r="CA20" s="278"/>
      <c r="CB20" s="130">
        <v>0.63124999999999998</v>
      </c>
      <c r="CC20" s="132">
        <f t="shared" si="45"/>
        <v>0</v>
      </c>
      <c r="CD20" s="128">
        <f t="shared" si="46"/>
        <v>1899</v>
      </c>
      <c r="CE20" s="103">
        <f t="shared" si="47"/>
        <v>0.65322916666666664</v>
      </c>
      <c r="CF20" s="442">
        <v>0.63236111111111104</v>
      </c>
      <c r="CG20" s="133">
        <f t="shared" si="48"/>
        <v>-1803</v>
      </c>
      <c r="CH20" s="134"/>
      <c r="CI20" s="270">
        <f t="shared" si="59"/>
        <v>1803</v>
      </c>
      <c r="CJ20" s="278"/>
      <c r="CK20" s="263">
        <f t="shared" si="50"/>
        <v>0.72361111111111109</v>
      </c>
      <c r="CL20" s="132">
        <f t="shared" si="51"/>
        <v>0</v>
      </c>
      <c r="CM20" s="131">
        <v>60</v>
      </c>
      <c r="CN20" s="440">
        <v>149.81</v>
      </c>
      <c r="CO20" s="147">
        <f t="shared" si="52"/>
        <v>89.8</v>
      </c>
      <c r="CP20" s="134"/>
      <c r="CQ20" s="134"/>
      <c r="CR20" s="134"/>
      <c r="CS20" s="134"/>
      <c r="CT20" s="270">
        <f t="shared" si="53"/>
        <v>898</v>
      </c>
      <c r="CU20" s="125" t="s">
        <v>585</v>
      </c>
      <c r="CV20" s="126" t="s">
        <v>569</v>
      </c>
      <c r="CW20" s="283">
        <v>15</v>
      </c>
      <c r="CX20" s="282">
        <f t="shared" si="54"/>
        <v>1800</v>
      </c>
      <c r="CY20" s="283">
        <v>0</v>
      </c>
      <c r="CZ20" s="282">
        <f t="shared" si="55"/>
        <v>0</v>
      </c>
    </row>
    <row r="21" spans="1:104" x14ac:dyDescent="0.25">
      <c r="A21" s="427">
        <f t="shared" si="0"/>
        <v>16</v>
      </c>
      <c r="B21" s="122">
        <v>17</v>
      </c>
      <c r="C21" s="123" t="s">
        <v>48</v>
      </c>
      <c r="D21" s="123" t="s">
        <v>488</v>
      </c>
      <c r="E21" s="123" t="s">
        <v>49</v>
      </c>
      <c r="F21" s="123" t="s">
        <v>140</v>
      </c>
      <c r="G21" s="122" t="s">
        <v>31</v>
      </c>
      <c r="H21" s="124"/>
      <c r="I21" s="450">
        <f t="shared" si="56"/>
        <v>10897</v>
      </c>
      <c r="J21" s="281"/>
      <c r="K21" s="138"/>
      <c r="L21" s="264">
        <v>0.4284722222222222</v>
      </c>
      <c r="M21" s="258">
        <f t="shared" si="1"/>
        <v>105</v>
      </c>
      <c r="N21" s="279">
        <f t="shared" si="2"/>
        <v>0</v>
      </c>
      <c r="O21" s="259">
        <f t="shared" si="3"/>
        <v>0.50138888888888888</v>
      </c>
      <c r="P21" s="263">
        <f t="shared" si="4"/>
        <v>0.50138888888888888</v>
      </c>
      <c r="Q21" s="128">
        <f t="shared" si="5"/>
        <v>0</v>
      </c>
      <c r="R21" s="266">
        <f t="shared" si="6"/>
        <v>0</v>
      </c>
      <c r="S21" s="136">
        <f t="shared" si="7"/>
        <v>140</v>
      </c>
      <c r="T21" s="280">
        <f t="shared" si="8"/>
        <v>2</v>
      </c>
      <c r="U21" s="260">
        <f t="shared" si="9"/>
        <v>0.59861111111111109</v>
      </c>
      <c r="V21" s="261">
        <v>0.61944444444444446</v>
      </c>
      <c r="W21" s="262">
        <f t="shared" si="10"/>
        <v>30</v>
      </c>
      <c r="X21" s="267">
        <f t="shared" si="11"/>
        <v>1680</v>
      </c>
      <c r="Y21" s="136">
        <f t="shared" si="12"/>
        <v>95</v>
      </c>
      <c r="Z21" s="280">
        <f t="shared" si="13"/>
        <v>0</v>
      </c>
      <c r="AA21" s="260">
        <f t="shared" si="14"/>
        <v>0.68611111111111112</v>
      </c>
      <c r="AB21" s="128">
        <f t="shared" si="15"/>
        <v>10</v>
      </c>
      <c r="AC21" s="261">
        <v>0.71527777777777779</v>
      </c>
      <c r="AD21" s="262">
        <f t="shared" si="16"/>
        <v>42</v>
      </c>
      <c r="AE21" s="266">
        <f t="shared" si="17"/>
        <v>2520</v>
      </c>
      <c r="AF21" s="261" t="s">
        <v>430</v>
      </c>
      <c r="AG21" s="266">
        <f t="shared" si="18"/>
        <v>0</v>
      </c>
      <c r="AH21" s="136">
        <f t="shared" si="19"/>
        <v>0</v>
      </c>
      <c r="AI21" s="128">
        <f t="shared" si="20"/>
        <v>0</v>
      </c>
      <c r="AJ21" s="129">
        <f t="shared" si="21"/>
        <v>0.50138888888888888</v>
      </c>
      <c r="AK21" s="137">
        <v>0.52013888888888882</v>
      </c>
      <c r="AL21" s="134"/>
      <c r="AM21" s="128">
        <f t="shared" si="22"/>
        <v>27</v>
      </c>
      <c r="AN21" s="268">
        <f t="shared" si="23"/>
        <v>0</v>
      </c>
      <c r="AO21" s="278"/>
      <c r="AP21" s="103">
        <f t="shared" si="24"/>
        <v>0.4284722222222222</v>
      </c>
      <c r="AQ21" s="132">
        <f t="shared" si="25"/>
        <v>0</v>
      </c>
      <c r="AR21" s="128">
        <f t="shared" si="26"/>
        <v>2503</v>
      </c>
      <c r="AS21" s="103">
        <f t="shared" si="27"/>
        <v>0.4574421296296296</v>
      </c>
      <c r="AT21" s="135">
        <v>0.49042824074074076</v>
      </c>
      <c r="AU21" s="133">
        <f t="shared" si="28"/>
        <v>2850</v>
      </c>
      <c r="AV21" s="134"/>
      <c r="AW21" s="270">
        <f t="shared" si="60"/>
        <v>2850</v>
      </c>
      <c r="AX21" s="127"/>
      <c r="AY21" s="130">
        <v>0.50902777777777775</v>
      </c>
      <c r="AZ21" s="132">
        <f t="shared" si="29"/>
        <v>0</v>
      </c>
      <c r="BA21" s="128">
        <f t="shared" si="30"/>
        <v>409</v>
      </c>
      <c r="BB21" s="128">
        <f t="shared" si="31"/>
        <v>570</v>
      </c>
      <c r="BC21" s="103">
        <f t="shared" si="32"/>
        <v>0.515625</v>
      </c>
      <c r="BD21" s="135">
        <v>0.5146412037037037</v>
      </c>
      <c r="BE21" s="133">
        <f t="shared" si="33"/>
        <v>-85</v>
      </c>
      <c r="BF21" s="134"/>
      <c r="BG21" s="270">
        <f t="shared" si="34"/>
        <v>0</v>
      </c>
      <c r="BH21" s="127">
        <v>0.5444444444444444</v>
      </c>
      <c r="BI21" s="130">
        <v>0.54583333333333328</v>
      </c>
      <c r="BJ21" s="132">
        <f t="shared" si="35"/>
        <v>2</v>
      </c>
      <c r="BK21" s="128">
        <f t="shared" si="36"/>
        <v>455</v>
      </c>
      <c r="BL21" s="128">
        <f t="shared" si="37"/>
        <v>670</v>
      </c>
      <c r="BM21" s="103">
        <f t="shared" si="38"/>
        <v>0.55358796296296287</v>
      </c>
      <c r="BN21" s="135">
        <v>0.55284722222222216</v>
      </c>
      <c r="BO21" s="133">
        <f t="shared" si="39"/>
        <v>-64</v>
      </c>
      <c r="BP21" s="134"/>
      <c r="BQ21" s="270">
        <f t="shared" si="57"/>
        <v>0</v>
      </c>
      <c r="BR21" s="127"/>
      <c r="BS21" s="130">
        <v>0.57847222222222217</v>
      </c>
      <c r="BT21" s="132">
        <f t="shared" si="40"/>
        <v>0</v>
      </c>
      <c r="BU21" s="128">
        <f t="shared" si="41"/>
        <v>1936</v>
      </c>
      <c r="BV21" s="103">
        <f t="shared" si="42"/>
        <v>0.6008796296296296</v>
      </c>
      <c r="BW21" s="135">
        <v>0.60307870370370364</v>
      </c>
      <c r="BX21" s="133">
        <f t="shared" si="43"/>
        <v>190</v>
      </c>
      <c r="BY21" s="134"/>
      <c r="BZ21" s="270">
        <f t="shared" si="44"/>
        <v>190</v>
      </c>
      <c r="CA21" s="278"/>
      <c r="CB21" s="130">
        <v>0.62013888888888891</v>
      </c>
      <c r="CC21" s="132">
        <f t="shared" si="45"/>
        <v>0</v>
      </c>
      <c r="CD21" s="128">
        <f t="shared" si="46"/>
        <v>1899</v>
      </c>
      <c r="CE21" s="103">
        <f t="shared" si="47"/>
        <v>0.64211805555555557</v>
      </c>
      <c r="CF21" s="135">
        <v>0.65517361111111116</v>
      </c>
      <c r="CG21" s="133">
        <f t="shared" si="48"/>
        <v>1128</v>
      </c>
      <c r="CH21" s="134"/>
      <c r="CI21" s="270">
        <f t="shared" si="59"/>
        <v>1128</v>
      </c>
      <c r="CJ21" s="278"/>
      <c r="CK21" s="263">
        <f t="shared" si="50"/>
        <v>0.71527777777777779</v>
      </c>
      <c r="CL21" s="132">
        <f t="shared" si="51"/>
        <v>0</v>
      </c>
      <c r="CM21" s="131">
        <v>60</v>
      </c>
      <c r="CN21" s="440">
        <v>168.9</v>
      </c>
      <c r="CO21" s="147">
        <f t="shared" si="52"/>
        <v>108.9</v>
      </c>
      <c r="CP21" s="134"/>
      <c r="CQ21" s="134"/>
      <c r="CR21" s="134"/>
      <c r="CS21" s="134"/>
      <c r="CT21" s="270">
        <f t="shared" si="53"/>
        <v>1089</v>
      </c>
      <c r="CU21" s="125" t="s">
        <v>584</v>
      </c>
      <c r="CV21" s="126" t="s">
        <v>569</v>
      </c>
      <c r="CW21" s="283">
        <v>12</v>
      </c>
      <c r="CX21" s="282">
        <f t="shared" si="54"/>
        <v>1440</v>
      </c>
      <c r="CY21" s="283">
        <v>0</v>
      </c>
      <c r="CZ21" s="282">
        <f t="shared" si="55"/>
        <v>0</v>
      </c>
    </row>
    <row r="22" spans="1:104" x14ac:dyDescent="0.25">
      <c r="A22" s="427">
        <f t="shared" si="0"/>
        <v>17</v>
      </c>
      <c r="B22" s="122">
        <v>16</v>
      </c>
      <c r="C22" s="123" t="s">
        <v>168</v>
      </c>
      <c r="D22" s="123" t="s">
        <v>486</v>
      </c>
      <c r="E22" s="123" t="s">
        <v>170</v>
      </c>
      <c r="F22" s="123" t="s">
        <v>172</v>
      </c>
      <c r="G22" s="122" t="s">
        <v>31</v>
      </c>
      <c r="H22" s="124"/>
      <c r="I22" s="450">
        <f t="shared" si="56"/>
        <v>11653</v>
      </c>
      <c r="J22" s="281"/>
      <c r="K22" s="138"/>
      <c r="L22" s="264">
        <v>0.42777777777777781</v>
      </c>
      <c r="M22" s="258">
        <f t="shared" si="1"/>
        <v>105</v>
      </c>
      <c r="N22" s="279">
        <f t="shared" si="2"/>
        <v>0</v>
      </c>
      <c r="O22" s="259">
        <f t="shared" si="3"/>
        <v>0.50069444444444444</v>
      </c>
      <c r="P22" s="263">
        <f t="shared" si="4"/>
        <v>0.50069444444444444</v>
      </c>
      <c r="Q22" s="128">
        <f t="shared" si="5"/>
        <v>0</v>
      </c>
      <c r="R22" s="266">
        <f t="shared" si="6"/>
        <v>0</v>
      </c>
      <c r="S22" s="136">
        <f t="shared" si="7"/>
        <v>140</v>
      </c>
      <c r="T22" s="280">
        <f t="shared" si="8"/>
        <v>0</v>
      </c>
      <c r="U22" s="260">
        <f t="shared" si="9"/>
        <v>0.59791666666666665</v>
      </c>
      <c r="V22" s="261">
        <v>0.64444444444444449</v>
      </c>
      <c r="W22" s="262">
        <f t="shared" si="10"/>
        <v>67</v>
      </c>
      <c r="X22" s="267">
        <f t="shared" si="11"/>
        <v>4020</v>
      </c>
      <c r="Y22" s="136">
        <f t="shared" si="12"/>
        <v>95</v>
      </c>
      <c r="Z22" s="280">
        <f t="shared" si="13"/>
        <v>0</v>
      </c>
      <c r="AA22" s="260">
        <f t="shared" si="14"/>
        <v>0.71111111111111103</v>
      </c>
      <c r="AB22" s="128">
        <f t="shared" si="15"/>
        <v>10</v>
      </c>
      <c r="AC22" s="261">
        <v>0.69791666666666663</v>
      </c>
      <c r="AD22" s="262">
        <f t="shared" si="16"/>
        <v>-19</v>
      </c>
      <c r="AE22" s="266">
        <f t="shared" si="17"/>
        <v>2280</v>
      </c>
      <c r="AF22" s="261" t="s">
        <v>430</v>
      </c>
      <c r="AG22" s="266">
        <f t="shared" si="18"/>
        <v>0</v>
      </c>
      <c r="AH22" s="136">
        <f t="shared" si="19"/>
        <v>0</v>
      </c>
      <c r="AI22" s="128">
        <f t="shared" si="20"/>
        <v>0</v>
      </c>
      <c r="AJ22" s="129">
        <f t="shared" si="21"/>
        <v>0.50069444444444444</v>
      </c>
      <c r="AK22" s="137">
        <v>0.52569444444444446</v>
      </c>
      <c r="AL22" s="134"/>
      <c r="AM22" s="128">
        <f t="shared" si="22"/>
        <v>36</v>
      </c>
      <c r="AN22" s="268">
        <f t="shared" si="23"/>
        <v>0</v>
      </c>
      <c r="AO22" s="278"/>
      <c r="AP22" s="103">
        <f t="shared" si="24"/>
        <v>0.42777777777777781</v>
      </c>
      <c r="AQ22" s="132">
        <f t="shared" si="25"/>
        <v>0</v>
      </c>
      <c r="AR22" s="128">
        <f t="shared" si="26"/>
        <v>2503</v>
      </c>
      <c r="AS22" s="103">
        <f t="shared" si="27"/>
        <v>0.45674768518518521</v>
      </c>
      <c r="AT22" s="135">
        <v>0.46276620370370369</v>
      </c>
      <c r="AU22" s="133">
        <f t="shared" si="28"/>
        <v>520</v>
      </c>
      <c r="AV22" s="134"/>
      <c r="AW22" s="270">
        <f t="shared" si="60"/>
        <v>520</v>
      </c>
      <c r="AX22" s="127"/>
      <c r="AY22" s="130">
        <v>0.51458333333333328</v>
      </c>
      <c r="AZ22" s="132">
        <f t="shared" si="29"/>
        <v>0</v>
      </c>
      <c r="BA22" s="128">
        <f t="shared" si="30"/>
        <v>409</v>
      </c>
      <c r="BB22" s="128">
        <f t="shared" si="31"/>
        <v>570</v>
      </c>
      <c r="BC22" s="103">
        <f t="shared" si="32"/>
        <v>0.52118055555555554</v>
      </c>
      <c r="BD22" s="135">
        <v>0.52042824074074068</v>
      </c>
      <c r="BE22" s="133">
        <f t="shared" si="33"/>
        <v>-65</v>
      </c>
      <c r="BF22" s="134"/>
      <c r="BG22" s="270">
        <f t="shared" si="34"/>
        <v>0</v>
      </c>
      <c r="BH22" s="127"/>
      <c r="BI22" s="443">
        <v>0.57361111111111118</v>
      </c>
      <c r="BJ22" s="132">
        <f t="shared" si="35"/>
        <v>0</v>
      </c>
      <c r="BK22" s="128">
        <f t="shared" si="36"/>
        <v>455</v>
      </c>
      <c r="BL22" s="128">
        <f t="shared" si="37"/>
        <v>670</v>
      </c>
      <c r="BM22" s="103">
        <f t="shared" si="38"/>
        <v>0.58136574074074077</v>
      </c>
      <c r="BN22" s="135">
        <v>0.57890046296296294</v>
      </c>
      <c r="BO22" s="133">
        <f t="shared" si="39"/>
        <v>-213</v>
      </c>
      <c r="BP22" s="134"/>
      <c r="BQ22" s="270">
        <f t="shared" si="57"/>
        <v>0</v>
      </c>
      <c r="BR22" s="127"/>
      <c r="BS22" s="130">
        <v>0.6069444444444444</v>
      </c>
      <c r="BT22" s="132">
        <f t="shared" si="40"/>
        <v>0</v>
      </c>
      <c r="BU22" s="128">
        <f t="shared" si="41"/>
        <v>1936</v>
      </c>
      <c r="BV22" s="103">
        <f t="shared" si="42"/>
        <v>0.62935185185185183</v>
      </c>
      <c r="BW22" s="135">
        <v>0.6205208333333333</v>
      </c>
      <c r="BX22" s="133">
        <f t="shared" si="43"/>
        <v>-763</v>
      </c>
      <c r="BY22" s="134"/>
      <c r="BZ22" s="270">
        <f t="shared" si="44"/>
        <v>763</v>
      </c>
      <c r="CA22" s="278"/>
      <c r="CB22" s="130">
        <v>0.64513888888888882</v>
      </c>
      <c r="CC22" s="132">
        <f t="shared" si="45"/>
        <v>0</v>
      </c>
      <c r="CD22" s="128">
        <f t="shared" si="46"/>
        <v>1899</v>
      </c>
      <c r="CE22" s="103">
        <f t="shared" si="47"/>
        <v>0.66711805555555548</v>
      </c>
      <c r="CF22" s="135">
        <v>0.64612268518518523</v>
      </c>
      <c r="CG22" s="133">
        <f t="shared" si="48"/>
        <v>-1814</v>
      </c>
      <c r="CH22" s="134"/>
      <c r="CI22" s="270">
        <f t="shared" si="59"/>
        <v>1814</v>
      </c>
      <c r="CJ22" s="278"/>
      <c r="CK22" s="263">
        <f t="shared" si="50"/>
        <v>0.69791666666666663</v>
      </c>
      <c r="CL22" s="132">
        <f t="shared" si="51"/>
        <v>0</v>
      </c>
      <c r="CM22" s="131">
        <v>60</v>
      </c>
      <c r="CN22" s="440">
        <v>117.56</v>
      </c>
      <c r="CO22" s="147">
        <f t="shared" si="52"/>
        <v>57.6</v>
      </c>
      <c r="CP22" s="134"/>
      <c r="CQ22" s="134"/>
      <c r="CR22" s="134"/>
      <c r="CS22" s="134"/>
      <c r="CT22" s="270">
        <f t="shared" si="53"/>
        <v>576</v>
      </c>
      <c r="CU22" s="125" t="s">
        <v>582</v>
      </c>
      <c r="CV22" s="126" t="s">
        <v>569</v>
      </c>
      <c r="CW22" s="283">
        <v>14</v>
      </c>
      <c r="CX22" s="282">
        <f t="shared" si="54"/>
        <v>1680</v>
      </c>
      <c r="CY22" s="283">
        <v>0</v>
      </c>
      <c r="CZ22" s="282">
        <f t="shared" si="55"/>
        <v>0</v>
      </c>
    </row>
    <row r="23" spans="1:104" x14ac:dyDescent="0.25">
      <c r="A23" s="427">
        <f t="shared" ref="A23:A34" si="61">_xlfn.RANK.EQ(I23,$I$23:$I$34,1)</f>
        <v>1</v>
      </c>
      <c r="B23" s="416">
        <v>24</v>
      </c>
      <c r="C23" s="417" t="s">
        <v>508</v>
      </c>
      <c r="D23" s="417" t="s">
        <v>158</v>
      </c>
      <c r="E23" s="417" t="s">
        <v>159</v>
      </c>
      <c r="F23" s="417" t="s">
        <v>160</v>
      </c>
      <c r="G23" s="416" t="s">
        <v>30</v>
      </c>
      <c r="H23" s="418"/>
      <c r="I23" s="450">
        <f t="shared" si="56"/>
        <v>2282</v>
      </c>
      <c r="J23" s="281"/>
      <c r="K23" s="138"/>
      <c r="L23" s="264">
        <v>0.43333333333333335</v>
      </c>
      <c r="M23" s="258">
        <f t="shared" si="1"/>
        <v>105</v>
      </c>
      <c r="N23" s="279">
        <f t="shared" si="2"/>
        <v>0</v>
      </c>
      <c r="O23" s="259">
        <f t="shared" si="3"/>
        <v>0.50624999999999998</v>
      </c>
      <c r="P23" s="263">
        <f t="shared" si="4"/>
        <v>0.50624999999999998</v>
      </c>
      <c r="Q23" s="128">
        <f t="shared" si="5"/>
        <v>0</v>
      </c>
      <c r="R23" s="266">
        <f t="shared" si="6"/>
        <v>0</v>
      </c>
      <c r="S23" s="136">
        <f t="shared" si="7"/>
        <v>140</v>
      </c>
      <c r="T23" s="280">
        <f t="shared" si="8"/>
        <v>4</v>
      </c>
      <c r="U23" s="260">
        <f t="shared" si="9"/>
        <v>0.60347222222222219</v>
      </c>
      <c r="V23" s="261">
        <v>0.60347222222222219</v>
      </c>
      <c r="W23" s="262">
        <f t="shared" si="10"/>
        <v>0</v>
      </c>
      <c r="X23" s="267">
        <f t="shared" si="11"/>
        <v>0</v>
      </c>
      <c r="Y23" s="136">
        <f t="shared" si="12"/>
        <v>95</v>
      </c>
      <c r="Z23" s="280">
        <f t="shared" si="13"/>
        <v>0</v>
      </c>
      <c r="AA23" s="260">
        <f t="shared" si="14"/>
        <v>0.67013888888888884</v>
      </c>
      <c r="AB23" s="128">
        <f t="shared" si="15"/>
        <v>10</v>
      </c>
      <c r="AC23" s="261">
        <v>0.67083333333333339</v>
      </c>
      <c r="AD23" s="262">
        <f t="shared" si="16"/>
        <v>1</v>
      </c>
      <c r="AE23" s="266">
        <f t="shared" si="17"/>
        <v>60</v>
      </c>
      <c r="AF23" s="261" t="s">
        <v>430</v>
      </c>
      <c r="AG23" s="266">
        <f t="shared" si="18"/>
        <v>0</v>
      </c>
      <c r="AH23" s="136">
        <f t="shared" si="19"/>
        <v>0</v>
      </c>
      <c r="AI23" s="128">
        <f t="shared" si="20"/>
        <v>0</v>
      </c>
      <c r="AJ23" s="129">
        <f t="shared" si="21"/>
        <v>0.50624999999999998</v>
      </c>
      <c r="AK23" s="137">
        <v>0.50694444444444442</v>
      </c>
      <c r="AL23" s="134"/>
      <c r="AM23" s="128">
        <f t="shared" si="22"/>
        <v>1</v>
      </c>
      <c r="AN23" s="268">
        <f t="shared" si="23"/>
        <v>0</v>
      </c>
      <c r="AO23" s="278"/>
      <c r="AP23" s="103">
        <f t="shared" si="24"/>
        <v>0.43333333333333335</v>
      </c>
      <c r="AQ23" s="132">
        <f t="shared" si="25"/>
        <v>0</v>
      </c>
      <c r="AR23" s="128">
        <f t="shared" si="26"/>
        <v>2503</v>
      </c>
      <c r="AS23" s="103">
        <f t="shared" si="27"/>
        <v>0.46230324074074075</v>
      </c>
      <c r="AT23" s="135">
        <v>0.46203703703703702</v>
      </c>
      <c r="AU23" s="133">
        <f t="shared" si="28"/>
        <v>-23</v>
      </c>
      <c r="AV23" s="134"/>
      <c r="AW23" s="270">
        <f t="shared" si="60"/>
        <v>23</v>
      </c>
      <c r="AX23" s="127"/>
      <c r="AY23" s="130">
        <v>0.48958333333333331</v>
      </c>
      <c r="AZ23" s="132">
        <f t="shared" si="29"/>
        <v>0</v>
      </c>
      <c r="BA23" s="128">
        <f t="shared" si="30"/>
        <v>409</v>
      </c>
      <c r="BB23" s="128">
        <f t="shared" si="31"/>
        <v>570</v>
      </c>
      <c r="BC23" s="103">
        <f t="shared" si="32"/>
        <v>0.49618055555555551</v>
      </c>
      <c r="BD23" s="135">
        <v>0.49583333333333335</v>
      </c>
      <c r="BE23" s="133">
        <f t="shared" si="33"/>
        <v>-30</v>
      </c>
      <c r="BF23" s="134"/>
      <c r="BG23" s="270">
        <f t="shared" si="34"/>
        <v>0</v>
      </c>
      <c r="BH23" s="127">
        <v>0.52777777777777779</v>
      </c>
      <c r="BI23" s="130">
        <v>0.52847222222222223</v>
      </c>
      <c r="BJ23" s="132">
        <f t="shared" si="35"/>
        <v>1</v>
      </c>
      <c r="BK23" s="128">
        <f t="shared" si="36"/>
        <v>455</v>
      </c>
      <c r="BL23" s="128">
        <f t="shared" si="37"/>
        <v>670</v>
      </c>
      <c r="BM23" s="103">
        <f t="shared" si="38"/>
        <v>0.53622685185185182</v>
      </c>
      <c r="BN23" s="135">
        <v>0.53478009259259263</v>
      </c>
      <c r="BO23" s="133">
        <f t="shared" si="39"/>
        <v>-125</v>
      </c>
      <c r="BP23" s="134"/>
      <c r="BQ23" s="270">
        <f t="shared" si="57"/>
        <v>0</v>
      </c>
      <c r="BR23" s="127">
        <v>0.56597222222222221</v>
      </c>
      <c r="BS23" s="130">
        <v>0.56805555555555554</v>
      </c>
      <c r="BT23" s="132">
        <f t="shared" si="40"/>
        <v>3</v>
      </c>
      <c r="BU23" s="128">
        <f t="shared" si="41"/>
        <v>1936</v>
      </c>
      <c r="BV23" s="103">
        <f t="shared" si="42"/>
        <v>0.59046296296296297</v>
      </c>
      <c r="BW23" s="135">
        <v>0.58429398148148148</v>
      </c>
      <c r="BX23" s="133">
        <f t="shared" si="43"/>
        <v>-533</v>
      </c>
      <c r="BY23" s="134"/>
      <c r="BZ23" s="270">
        <f t="shared" si="44"/>
        <v>533</v>
      </c>
      <c r="CA23" s="278"/>
      <c r="CB23" s="130">
        <v>0.60416666666666663</v>
      </c>
      <c r="CC23" s="132">
        <f t="shared" si="45"/>
        <v>0</v>
      </c>
      <c r="CD23" s="128">
        <f t="shared" si="46"/>
        <v>1899</v>
      </c>
      <c r="CE23" s="103">
        <f t="shared" si="47"/>
        <v>0.62614583333333329</v>
      </c>
      <c r="CF23" s="135">
        <v>0.63082175925925921</v>
      </c>
      <c r="CG23" s="133">
        <f t="shared" si="48"/>
        <v>404</v>
      </c>
      <c r="CH23" s="134"/>
      <c r="CI23" s="270">
        <f t="shared" si="59"/>
        <v>404</v>
      </c>
      <c r="CJ23" s="278"/>
      <c r="CK23" s="263">
        <f t="shared" si="50"/>
        <v>0.67083333333333339</v>
      </c>
      <c r="CL23" s="132">
        <f t="shared" si="51"/>
        <v>0</v>
      </c>
      <c r="CM23" s="131">
        <v>60</v>
      </c>
      <c r="CN23" s="440">
        <v>102.24</v>
      </c>
      <c r="CO23" s="147">
        <f t="shared" si="52"/>
        <v>42.2</v>
      </c>
      <c r="CP23" s="134"/>
      <c r="CQ23" s="134"/>
      <c r="CR23" s="134"/>
      <c r="CS23" s="134"/>
      <c r="CT23" s="270">
        <f t="shared" si="53"/>
        <v>422</v>
      </c>
      <c r="CU23" s="125" t="s">
        <v>589</v>
      </c>
      <c r="CV23" s="126" t="s">
        <v>569</v>
      </c>
      <c r="CW23" s="283">
        <v>7</v>
      </c>
      <c r="CX23" s="282">
        <f t="shared" si="54"/>
        <v>840</v>
      </c>
      <c r="CY23" s="283">
        <v>0</v>
      </c>
      <c r="CZ23" s="282">
        <f t="shared" si="55"/>
        <v>0</v>
      </c>
    </row>
    <row r="24" spans="1:104" x14ac:dyDescent="0.25">
      <c r="A24" s="427">
        <f t="shared" si="61"/>
        <v>2</v>
      </c>
      <c r="B24" s="416">
        <v>26</v>
      </c>
      <c r="C24" s="417" t="s">
        <v>514</v>
      </c>
      <c r="D24" s="417" t="s">
        <v>515</v>
      </c>
      <c r="E24" s="417" t="s">
        <v>165</v>
      </c>
      <c r="F24" s="417" t="s">
        <v>166</v>
      </c>
      <c r="G24" s="416" t="s">
        <v>30</v>
      </c>
      <c r="H24" s="418"/>
      <c r="I24" s="450">
        <f t="shared" si="56"/>
        <v>2360</v>
      </c>
      <c r="J24" s="281"/>
      <c r="K24" s="138"/>
      <c r="L24" s="264">
        <v>0.43472222222222223</v>
      </c>
      <c r="M24" s="258">
        <f t="shared" si="1"/>
        <v>105</v>
      </c>
      <c r="N24" s="279">
        <f t="shared" si="2"/>
        <v>0</v>
      </c>
      <c r="O24" s="259">
        <f t="shared" si="3"/>
        <v>0.50763888888888886</v>
      </c>
      <c r="P24" s="263">
        <f t="shared" si="4"/>
        <v>0.50763888888888886</v>
      </c>
      <c r="Q24" s="128">
        <f t="shared" si="5"/>
        <v>0</v>
      </c>
      <c r="R24" s="266">
        <f t="shared" si="6"/>
        <v>0</v>
      </c>
      <c r="S24" s="136">
        <f t="shared" si="7"/>
        <v>140</v>
      </c>
      <c r="T24" s="280">
        <f t="shared" si="8"/>
        <v>2</v>
      </c>
      <c r="U24" s="260">
        <f t="shared" si="9"/>
        <v>0.60486111111111107</v>
      </c>
      <c r="V24" s="261">
        <v>0.60763888888888895</v>
      </c>
      <c r="W24" s="262">
        <f t="shared" si="10"/>
        <v>4</v>
      </c>
      <c r="X24" s="267">
        <f t="shared" si="11"/>
        <v>120</v>
      </c>
      <c r="Y24" s="136">
        <f t="shared" si="12"/>
        <v>95</v>
      </c>
      <c r="Z24" s="280">
        <f t="shared" si="13"/>
        <v>0</v>
      </c>
      <c r="AA24" s="260">
        <f t="shared" si="14"/>
        <v>0.67430555555555549</v>
      </c>
      <c r="AB24" s="128">
        <f t="shared" si="15"/>
        <v>10</v>
      </c>
      <c r="AC24" s="261">
        <v>0.67222222222222217</v>
      </c>
      <c r="AD24" s="262">
        <f t="shared" si="16"/>
        <v>-3</v>
      </c>
      <c r="AE24" s="266">
        <f t="shared" si="17"/>
        <v>0</v>
      </c>
      <c r="AF24" s="261" t="s">
        <v>430</v>
      </c>
      <c r="AG24" s="266">
        <f t="shared" si="18"/>
        <v>0</v>
      </c>
      <c r="AH24" s="136">
        <f t="shared" si="19"/>
        <v>0</v>
      </c>
      <c r="AI24" s="128">
        <f t="shared" si="20"/>
        <v>0</v>
      </c>
      <c r="AJ24" s="129">
        <f t="shared" si="21"/>
        <v>0.50763888888888886</v>
      </c>
      <c r="AK24" s="137">
        <v>0.5083333333333333</v>
      </c>
      <c r="AL24" s="134"/>
      <c r="AM24" s="128">
        <f t="shared" si="22"/>
        <v>1</v>
      </c>
      <c r="AN24" s="268">
        <f t="shared" si="23"/>
        <v>0</v>
      </c>
      <c r="AO24" s="278"/>
      <c r="AP24" s="103">
        <f t="shared" si="24"/>
        <v>0.43472222222222223</v>
      </c>
      <c r="AQ24" s="132">
        <f t="shared" si="25"/>
        <v>0</v>
      </c>
      <c r="AR24" s="128">
        <f t="shared" si="26"/>
        <v>2503</v>
      </c>
      <c r="AS24" s="103">
        <f t="shared" si="27"/>
        <v>0.46369212962962963</v>
      </c>
      <c r="AT24" s="135">
        <v>0.4763425925925926</v>
      </c>
      <c r="AU24" s="133">
        <f t="shared" si="28"/>
        <v>1093</v>
      </c>
      <c r="AV24" s="134"/>
      <c r="AW24" s="270">
        <f t="shared" si="60"/>
        <v>1093</v>
      </c>
      <c r="AX24" s="127"/>
      <c r="AY24" s="130">
        <v>0.49236111111111108</v>
      </c>
      <c r="AZ24" s="132">
        <f t="shared" si="29"/>
        <v>0</v>
      </c>
      <c r="BA24" s="128">
        <f t="shared" si="30"/>
        <v>409</v>
      </c>
      <c r="BB24" s="128">
        <f t="shared" si="31"/>
        <v>570</v>
      </c>
      <c r="BC24" s="103">
        <f t="shared" si="32"/>
        <v>0.49895833333333328</v>
      </c>
      <c r="BD24" s="135">
        <v>0.49879629629629635</v>
      </c>
      <c r="BE24" s="133">
        <f t="shared" si="33"/>
        <v>-14</v>
      </c>
      <c r="BF24" s="134"/>
      <c r="BG24" s="270">
        <f t="shared" si="34"/>
        <v>0</v>
      </c>
      <c r="BH24" s="127">
        <v>0.52847222222222223</v>
      </c>
      <c r="BI24" s="130">
        <v>0.52986111111111112</v>
      </c>
      <c r="BJ24" s="132">
        <f t="shared" si="35"/>
        <v>2</v>
      </c>
      <c r="BK24" s="128">
        <f t="shared" si="36"/>
        <v>455</v>
      </c>
      <c r="BL24" s="128">
        <f t="shared" si="37"/>
        <v>670</v>
      </c>
      <c r="BM24" s="103">
        <f t="shared" si="38"/>
        <v>0.5376157407407407</v>
      </c>
      <c r="BN24" s="135">
        <v>0.53761574074074081</v>
      </c>
      <c r="BO24" s="133">
        <f t="shared" si="39"/>
        <v>0</v>
      </c>
      <c r="BP24" s="134"/>
      <c r="BQ24" s="270">
        <f t="shared" si="57"/>
        <v>0</v>
      </c>
      <c r="BR24" s="127"/>
      <c r="BS24" s="130">
        <v>0.5708333333333333</v>
      </c>
      <c r="BT24" s="132">
        <f t="shared" si="40"/>
        <v>0</v>
      </c>
      <c r="BU24" s="128">
        <f t="shared" si="41"/>
        <v>1936</v>
      </c>
      <c r="BV24" s="103">
        <f t="shared" si="42"/>
        <v>0.59324074074074074</v>
      </c>
      <c r="BW24" s="135">
        <v>0.59435185185185191</v>
      </c>
      <c r="BX24" s="133">
        <f t="shared" si="43"/>
        <v>96</v>
      </c>
      <c r="BY24" s="134"/>
      <c r="BZ24" s="270">
        <f t="shared" si="44"/>
        <v>96</v>
      </c>
      <c r="CA24" s="278"/>
      <c r="CB24" s="130">
        <v>0.60833333333333328</v>
      </c>
      <c r="CC24" s="132">
        <f t="shared" si="45"/>
        <v>0</v>
      </c>
      <c r="CD24" s="128">
        <f t="shared" si="46"/>
        <v>1899</v>
      </c>
      <c r="CE24" s="103">
        <f t="shared" si="47"/>
        <v>0.63031249999999994</v>
      </c>
      <c r="CF24" s="135">
        <v>0.62988425925925928</v>
      </c>
      <c r="CG24" s="133">
        <f t="shared" si="48"/>
        <v>-37</v>
      </c>
      <c r="CH24" s="134"/>
      <c r="CI24" s="270">
        <f t="shared" si="59"/>
        <v>37</v>
      </c>
      <c r="CJ24" s="278"/>
      <c r="CK24" s="263">
        <f t="shared" si="50"/>
        <v>0.67222222222222217</v>
      </c>
      <c r="CL24" s="132">
        <f t="shared" si="51"/>
        <v>0</v>
      </c>
      <c r="CM24" s="131">
        <v>60</v>
      </c>
      <c r="CN24" s="440">
        <v>129.38</v>
      </c>
      <c r="CO24" s="147">
        <f t="shared" si="52"/>
        <v>69.400000000000006</v>
      </c>
      <c r="CP24" s="134"/>
      <c r="CQ24" s="134"/>
      <c r="CR24" s="134"/>
      <c r="CS24" s="134">
        <v>1</v>
      </c>
      <c r="CT24" s="270">
        <f t="shared" si="53"/>
        <v>894</v>
      </c>
      <c r="CU24" s="125" t="s">
        <v>592</v>
      </c>
      <c r="CV24" s="126" t="s">
        <v>569</v>
      </c>
      <c r="CW24" s="283">
        <v>1</v>
      </c>
      <c r="CX24" s="282">
        <f t="shared" si="54"/>
        <v>120</v>
      </c>
      <c r="CY24" s="283">
        <v>0</v>
      </c>
      <c r="CZ24" s="282">
        <f t="shared" si="55"/>
        <v>0</v>
      </c>
    </row>
    <row r="25" spans="1:104" x14ac:dyDescent="0.25">
      <c r="A25" s="427">
        <f t="shared" si="61"/>
        <v>3</v>
      </c>
      <c r="B25" s="416">
        <v>29</v>
      </c>
      <c r="C25" s="417" t="s">
        <v>562</v>
      </c>
      <c r="D25" s="417" t="s">
        <v>525</v>
      </c>
      <c r="E25" s="417" t="s">
        <v>527</v>
      </c>
      <c r="F25" s="417" t="s">
        <v>528</v>
      </c>
      <c r="G25" s="416" t="s">
        <v>30</v>
      </c>
      <c r="H25" s="418"/>
      <c r="I25" s="450">
        <f t="shared" si="56"/>
        <v>2636</v>
      </c>
      <c r="J25" s="281"/>
      <c r="K25" s="138"/>
      <c r="L25" s="264">
        <v>0.4368055555555555</v>
      </c>
      <c r="M25" s="258">
        <f t="shared" si="1"/>
        <v>105</v>
      </c>
      <c r="N25" s="279">
        <f t="shared" si="2"/>
        <v>0</v>
      </c>
      <c r="O25" s="259">
        <f t="shared" si="3"/>
        <v>0.50972222222222219</v>
      </c>
      <c r="P25" s="263">
        <f t="shared" si="4"/>
        <v>0.50972222222222219</v>
      </c>
      <c r="Q25" s="128">
        <f t="shared" si="5"/>
        <v>0</v>
      </c>
      <c r="R25" s="266">
        <f t="shared" si="6"/>
        <v>0</v>
      </c>
      <c r="S25" s="136">
        <f t="shared" si="7"/>
        <v>140</v>
      </c>
      <c r="T25" s="280">
        <f t="shared" si="8"/>
        <v>6</v>
      </c>
      <c r="U25" s="260">
        <f t="shared" si="9"/>
        <v>0.6069444444444444</v>
      </c>
      <c r="V25" s="261">
        <v>0.60625000000000007</v>
      </c>
      <c r="W25" s="262">
        <f t="shared" si="10"/>
        <v>-1</v>
      </c>
      <c r="X25" s="267">
        <f t="shared" si="11"/>
        <v>0</v>
      </c>
      <c r="Y25" s="136">
        <f t="shared" si="12"/>
        <v>95</v>
      </c>
      <c r="Z25" s="280">
        <f t="shared" si="13"/>
        <v>0</v>
      </c>
      <c r="AA25" s="260">
        <f t="shared" si="14"/>
        <v>0.67291666666666661</v>
      </c>
      <c r="AB25" s="128">
        <f t="shared" si="15"/>
        <v>10</v>
      </c>
      <c r="AC25" s="261">
        <v>0.67638888888888893</v>
      </c>
      <c r="AD25" s="262">
        <f t="shared" si="16"/>
        <v>5</v>
      </c>
      <c r="AE25" s="266">
        <f t="shared" si="17"/>
        <v>300</v>
      </c>
      <c r="AF25" s="261" t="s">
        <v>430</v>
      </c>
      <c r="AG25" s="266">
        <f t="shared" si="18"/>
        <v>0</v>
      </c>
      <c r="AH25" s="136">
        <f t="shared" si="19"/>
        <v>0</v>
      </c>
      <c r="AI25" s="128">
        <f t="shared" si="20"/>
        <v>0</v>
      </c>
      <c r="AJ25" s="129">
        <f t="shared" si="21"/>
        <v>0.50972222222222219</v>
      </c>
      <c r="AK25" s="137">
        <v>0.50972222222222219</v>
      </c>
      <c r="AL25" s="134"/>
      <c r="AM25" s="128">
        <f t="shared" si="22"/>
        <v>0</v>
      </c>
      <c r="AN25" s="268">
        <f t="shared" si="23"/>
        <v>0</v>
      </c>
      <c r="AO25" s="278"/>
      <c r="AP25" s="103">
        <f t="shared" si="24"/>
        <v>0.4368055555555555</v>
      </c>
      <c r="AQ25" s="132">
        <f t="shared" si="25"/>
        <v>0</v>
      </c>
      <c r="AR25" s="128">
        <f t="shared" si="26"/>
        <v>2503</v>
      </c>
      <c r="AS25" s="103">
        <f t="shared" si="27"/>
        <v>0.46577546296296291</v>
      </c>
      <c r="AT25" s="135">
        <v>0.46546296296296297</v>
      </c>
      <c r="AU25" s="133">
        <f t="shared" si="28"/>
        <v>-27</v>
      </c>
      <c r="AV25" s="134"/>
      <c r="AW25" s="270">
        <f t="shared" si="60"/>
        <v>27</v>
      </c>
      <c r="AX25" s="127"/>
      <c r="AY25" s="130">
        <v>0.4909722222222222</v>
      </c>
      <c r="AZ25" s="132">
        <f t="shared" si="29"/>
        <v>0</v>
      </c>
      <c r="BA25" s="128">
        <f t="shared" si="30"/>
        <v>409</v>
      </c>
      <c r="BB25" s="128">
        <f t="shared" si="31"/>
        <v>570</v>
      </c>
      <c r="BC25" s="103">
        <f t="shared" si="32"/>
        <v>0.4975694444444444</v>
      </c>
      <c r="BD25" s="135">
        <v>0.49682870370370374</v>
      </c>
      <c r="BE25" s="133">
        <f t="shared" si="33"/>
        <v>-64</v>
      </c>
      <c r="BF25" s="134"/>
      <c r="BG25" s="270">
        <f t="shared" si="34"/>
        <v>0</v>
      </c>
      <c r="BH25" s="127">
        <v>0.52986111111111112</v>
      </c>
      <c r="BI25" s="130">
        <v>0.53194444444444444</v>
      </c>
      <c r="BJ25" s="132">
        <f t="shared" si="35"/>
        <v>3</v>
      </c>
      <c r="BK25" s="128">
        <f t="shared" si="36"/>
        <v>455</v>
      </c>
      <c r="BL25" s="128">
        <f t="shared" si="37"/>
        <v>670</v>
      </c>
      <c r="BM25" s="103">
        <f t="shared" si="38"/>
        <v>0.53969907407407403</v>
      </c>
      <c r="BN25" s="135">
        <v>0.53848379629629628</v>
      </c>
      <c r="BO25" s="133">
        <f t="shared" si="39"/>
        <v>-105</v>
      </c>
      <c r="BP25" s="134"/>
      <c r="BQ25" s="270">
        <f t="shared" si="57"/>
        <v>0</v>
      </c>
      <c r="BR25" s="127">
        <v>0.56666666666666665</v>
      </c>
      <c r="BS25" s="130">
        <v>0.56874999999999998</v>
      </c>
      <c r="BT25" s="132">
        <f t="shared" si="40"/>
        <v>3</v>
      </c>
      <c r="BU25" s="128">
        <f t="shared" si="41"/>
        <v>1936</v>
      </c>
      <c r="BV25" s="103">
        <f t="shared" si="42"/>
        <v>0.59115740740740741</v>
      </c>
      <c r="BW25" s="135">
        <v>0.58537037037037043</v>
      </c>
      <c r="BX25" s="133">
        <f t="shared" si="43"/>
        <v>-500</v>
      </c>
      <c r="BY25" s="134"/>
      <c r="BZ25" s="270">
        <f>IF(NOT(OR(ISBLANK(#REF!),ISBLANK(BW25))),ABS(BX25)*ШтрафОпережениеОтставаниеНаРД+IF(ISBLANK(BY25),0,ШтрафФальстартНаДС),"!!!ВРУЧНУЮ!!!")</f>
        <v>500</v>
      </c>
      <c r="CA25" s="278"/>
      <c r="CB25" s="130">
        <v>0.6069444444444444</v>
      </c>
      <c r="CC25" s="132">
        <f t="shared" si="45"/>
        <v>0</v>
      </c>
      <c r="CD25" s="128">
        <f t="shared" si="46"/>
        <v>1899</v>
      </c>
      <c r="CE25" s="103">
        <f t="shared" si="47"/>
        <v>0.62892361111111106</v>
      </c>
      <c r="CF25" s="135">
        <v>0.63866898148148155</v>
      </c>
      <c r="CG25" s="133">
        <f t="shared" si="48"/>
        <v>842</v>
      </c>
      <c r="CH25" s="134"/>
      <c r="CI25" s="270">
        <f t="shared" si="59"/>
        <v>842</v>
      </c>
      <c r="CJ25" s="278"/>
      <c r="CK25" s="263">
        <f t="shared" si="50"/>
        <v>0.67638888888888893</v>
      </c>
      <c r="CL25" s="132">
        <f t="shared" si="51"/>
        <v>0</v>
      </c>
      <c r="CM25" s="131">
        <v>60</v>
      </c>
      <c r="CN25" s="440">
        <v>84.7</v>
      </c>
      <c r="CO25" s="147">
        <f t="shared" si="52"/>
        <v>24.7</v>
      </c>
      <c r="CP25" s="134"/>
      <c r="CQ25" s="134"/>
      <c r="CR25" s="134"/>
      <c r="CS25" s="134"/>
      <c r="CT25" s="270">
        <f t="shared" si="53"/>
        <v>247</v>
      </c>
      <c r="CU25" s="125" t="s">
        <v>593</v>
      </c>
      <c r="CV25" s="126" t="s">
        <v>569</v>
      </c>
      <c r="CW25" s="283">
        <v>6</v>
      </c>
      <c r="CX25" s="282">
        <f t="shared" si="54"/>
        <v>720</v>
      </c>
      <c r="CY25" s="283">
        <v>0</v>
      </c>
      <c r="CZ25" s="282">
        <f t="shared" si="55"/>
        <v>0</v>
      </c>
    </row>
    <row r="26" spans="1:104" x14ac:dyDescent="0.25">
      <c r="A26" s="427">
        <f t="shared" si="61"/>
        <v>4</v>
      </c>
      <c r="B26" s="416">
        <v>19</v>
      </c>
      <c r="C26" s="417" t="s">
        <v>127</v>
      </c>
      <c r="D26" s="417" t="s">
        <v>128</v>
      </c>
      <c r="E26" s="417" t="s">
        <v>86</v>
      </c>
      <c r="F26" s="417" t="s">
        <v>87</v>
      </c>
      <c r="G26" s="416" t="s">
        <v>30</v>
      </c>
      <c r="H26" s="418"/>
      <c r="I26" s="450">
        <f t="shared" si="56"/>
        <v>4101.8999999999996</v>
      </c>
      <c r="J26" s="281"/>
      <c r="K26" s="138"/>
      <c r="L26" s="264">
        <v>0.42986111111111108</v>
      </c>
      <c r="M26" s="258">
        <f t="shared" si="1"/>
        <v>105</v>
      </c>
      <c r="N26" s="279">
        <f t="shared" si="2"/>
        <v>0</v>
      </c>
      <c r="O26" s="259">
        <f t="shared" si="3"/>
        <v>0.50277777777777777</v>
      </c>
      <c r="P26" s="263">
        <f t="shared" si="4"/>
        <v>0.50277777777777777</v>
      </c>
      <c r="Q26" s="128">
        <f t="shared" si="5"/>
        <v>0</v>
      </c>
      <c r="R26" s="266">
        <f t="shared" si="6"/>
        <v>0</v>
      </c>
      <c r="S26" s="136">
        <f t="shared" si="7"/>
        <v>140</v>
      </c>
      <c r="T26" s="280">
        <f t="shared" si="8"/>
        <v>2</v>
      </c>
      <c r="U26" s="260">
        <f t="shared" si="9"/>
        <v>0.6</v>
      </c>
      <c r="V26" s="261">
        <v>0.6</v>
      </c>
      <c r="W26" s="262">
        <f t="shared" si="10"/>
        <v>0</v>
      </c>
      <c r="X26" s="267">
        <f t="shared" si="11"/>
        <v>0</v>
      </c>
      <c r="Y26" s="136">
        <f t="shared" si="12"/>
        <v>95</v>
      </c>
      <c r="Z26" s="280">
        <f t="shared" si="13"/>
        <v>0</v>
      </c>
      <c r="AA26" s="260">
        <f t="shared" si="14"/>
        <v>0.66666666666666663</v>
      </c>
      <c r="AB26" s="128">
        <f t="shared" si="15"/>
        <v>10</v>
      </c>
      <c r="AC26" s="261">
        <v>0.67152777777777783</v>
      </c>
      <c r="AD26" s="262">
        <f t="shared" si="16"/>
        <v>7</v>
      </c>
      <c r="AE26" s="266">
        <f t="shared" si="17"/>
        <v>420</v>
      </c>
      <c r="AF26" s="261"/>
      <c r="AG26" s="266">
        <f t="shared" si="18"/>
        <v>300</v>
      </c>
      <c r="AH26" s="136">
        <f t="shared" si="19"/>
        <v>0</v>
      </c>
      <c r="AI26" s="128">
        <f t="shared" si="20"/>
        <v>0</v>
      </c>
      <c r="AJ26" s="129">
        <f t="shared" si="21"/>
        <v>0.50277777777777777</v>
      </c>
      <c r="AK26" s="137">
        <v>0.52152777777777781</v>
      </c>
      <c r="AL26" s="134"/>
      <c r="AM26" s="128">
        <f t="shared" si="22"/>
        <v>27</v>
      </c>
      <c r="AN26" s="268">
        <f t="shared" si="23"/>
        <v>0</v>
      </c>
      <c r="AO26" s="278"/>
      <c r="AP26" s="103">
        <f t="shared" si="24"/>
        <v>0.42986111111111108</v>
      </c>
      <c r="AQ26" s="132">
        <f t="shared" si="25"/>
        <v>0</v>
      </c>
      <c r="AR26" s="128">
        <f t="shared" si="26"/>
        <v>2503</v>
      </c>
      <c r="AS26" s="103">
        <f t="shared" si="27"/>
        <v>0.45883101851851849</v>
      </c>
      <c r="AT26" s="135"/>
      <c r="AU26" s="133">
        <f t="shared" si="28"/>
        <v>-39643</v>
      </c>
      <c r="AV26" s="134"/>
      <c r="AW26" s="441">
        <f>$AW$14*1.1</f>
        <v>735.90000000000009</v>
      </c>
      <c r="AX26" s="127"/>
      <c r="AY26" s="130">
        <v>0.50069444444444444</v>
      </c>
      <c r="AZ26" s="132">
        <f t="shared" si="29"/>
        <v>0</v>
      </c>
      <c r="BA26" s="128">
        <f t="shared" si="30"/>
        <v>409</v>
      </c>
      <c r="BB26" s="128">
        <f t="shared" si="31"/>
        <v>570</v>
      </c>
      <c r="BC26" s="103">
        <f t="shared" si="32"/>
        <v>0.5072916666666667</v>
      </c>
      <c r="BD26" s="135">
        <v>0.50715277777777779</v>
      </c>
      <c r="BE26" s="133">
        <f t="shared" si="33"/>
        <v>-12</v>
      </c>
      <c r="BF26" s="134"/>
      <c r="BG26" s="270">
        <f t="shared" si="34"/>
        <v>0</v>
      </c>
      <c r="BH26" s="127">
        <v>0.53749999999999998</v>
      </c>
      <c r="BI26" s="130">
        <v>0.53888888888888886</v>
      </c>
      <c r="BJ26" s="132">
        <f t="shared" si="35"/>
        <v>2</v>
      </c>
      <c r="BK26" s="128">
        <f t="shared" si="36"/>
        <v>455</v>
      </c>
      <c r="BL26" s="128">
        <f t="shared" si="37"/>
        <v>670</v>
      </c>
      <c r="BM26" s="103">
        <f t="shared" si="38"/>
        <v>0.54664351851851845</v>
      </c>
      <c r="BN26" s="135">
        <v>0.54655092592592591</v>
      </c>
      <c r="BO26" s="133">
        <f t="shared" si="39"/>
        <v>-8</v>
      </c>
      <c r="BP26" s="134"/>
      <c r="BQ26" s="270">
        <f t="shared" si="57"/>
        <v>0</v>
      </c>
      <c r="BR26" s="127"/>
      <c r="BS26" s="130">
        <v>0.56736111111111109</v>
      </c>
      <c r="BT26" s="132">
        <f t="shared" si="40"/>
        <v>0</v>
      </c>
      <c r="BU26" s="128">
        <f t="shared" si="41"/>
        <v>1936</v>
      </c>
      <c r="BV26" s="103">
        <f t="shared" si="42"/>
        <v>0.58976851851851853</v>
      </c>
      <c r="BW26" s="135">
        <v>0.58261574074074074</v>
      </c>
      <c r="BX26" s="133">
        <f t="shared" si="43"/>
        <v>-618</v>
      </c>
      <c r="BY26" s="134"/>
      <c r="BZ26" s="270">
        <f>IF(NOT(OR(ISBLANK(BS26),ISBLANK(BW26))),ABS(BX26)*ШтрафОпережениеОтставаниеНаРД+IF(ISBLANK(BY26),0,ШтрафФальстартНаДС),"!!!ВРУЧНУЮ!!!")</f>
        <v>618</v>
      </c>
      <c r="CA26" s="278"/>
      <c r="CB26" s="130">
        <v>0.60069444444444442</v>
      </c>
      <c r="CC26" s="132">
        <f t="shared" si="45"/>
        <v>0</v>
      </c>
      <c r="CD26" s="128">
        <f t="shared" si="46"/>
        <v>1899</v>
      </c>
      <c r="CE26" s="103">
        <f t="shared" si="47"/>
        <v>0.62267361111111108</v>
      </c>
      <c r="CF26" s="135">
        <v>0.62988425925925928</v>
      </c>
      <c r="CG26" s="133">
        <f t="shared" si="48"/>
        <v>623</v>
      </c>
      <c r="CH26" s="134"/>
      <c r="CI26" s="270">
        <f t="shared" si="59"/>
        <v>623</v>
      </c>
      <c r="CJ26" s="278"/>
      <c r="CK26" s="263">
        <f t="shared" si="50"/>
        <v>0.67152777777777783</v>
      </c>
      <c r="CL26" s="132">
        <f t="shared" si="51"/>
        <v>0</v>
      </c>
      <c r="CM26" s="131">
        <v>60</v>
      </c>
      <c r="CN26" s="440">
        <v>92.51</v>
      </c>
      <c r="CO26" s="147">
        <f t="shared" si="52"/>
        <v>32.5</v>
      </c>
      <c r="CP26" s="134"/>
      <c r="CQ26" s="134"/>
      <c r="CR26" s="134"/>
      <c r="CS26" s="134"/>
      <c r="CT26" s="270">
        <f t="shared" si="53"/>
        <v>325</v>
      </c>
      <c r="CU26" s="125" t="s">
        <v>586</v>
      </c>
      <c r="CV26" s="126" t="s">
        <v>569</v>
      </c>
      <c r="CW26" s="283">
        <v>9</v>
      </c>
      <c r="CX26" s="282">
        <f t="shared" si="54"/>
        <v>1080</v>
      </c>
      <c r="CY26" s="283">
        <v>0</v>
      </c>
      <c r="CZ26" s="282">
        <f t="shared" si="55"/>
        <v>0</v>
      </c>
    </row>
    <row r="27" spans="1:104" x14ac:dyDescent="0.25">
      <c r="A27" s="427">
        <f t="shared" si="61"/>
        <v>5</v>
      </c>
      <c r="B27" s="416">
        <v>27</v>
      </c>
      <c r="C27" s="417" t="s">
        <v>517</v>
      </c>
      <c r="D27" s="417" t="s">
        <v>518</v>
      </c>
      <c r="E27" s="417" t="s">
        <v>520</v>
      </c>
      <c r="F27" s="417" t="s">
        <v>521</v>
      </c>
      <c r="G27" s="416" t="s">
        <v>30</v>
      </c>
      <c r="H27" s="418"/>
      <c r="I27" s="450">
        <f t="shared" si="56"/>
        <v>4256</v>
      </c>
      <c r="J27" s="281"/>
      <c r="K27" s="138"/>
      <c r="L27" s="264">
        <v>0.43541666666666662</v>
      </c>
      <c r="M27" s="258">
        <f t="shared" si="1"/>
        <v>105</v>
      </c>
      <c r="N27" s="279">
        <f t="shared" si="2"/>
        <v>0</v>
      </c>
      <c r="O27" s="259">
        <f t="shared" si="3"/>
        <v>0.5083333333333333</v>
      </c>
      <c r="P27" s="263">
        <f t="shared" si="4"/>
        <v>0.5083333333333333</v>
      </c>
      <c r="Q27" s="128">
        <f t="shared" si="5"/>
        <v>0</v>
      </c>
      <c r="R27" s="266">
        <f t="shared" si="6"/>
        <v>0</v>
      </c>
      <c r="S27" s="136">
        <f t="shared" si="7"/>
        <v>140</v>
      </c>
      <c r="T27" s="280">
        <f t="shared" si="8"/>
        <v>6</v>
      </c>
      <c r="U27" s="260">
        <f t="shared" si="9"/>
        <v>0.60555555555555551</v>
      </c>
      <c r="V27" s="261">
        <v>0.60972222222222217</v>
      </c>
      <c r="W27" s="262">
        <f t="shared" si="10"/>
        <v>6</v>
      </c>
      <c r="X27" s="267">
        <f t="shared" si="11"/>
        <v>0</v>
      </c>
      <c r="Y27" s="136">
        <f t="shared" si="12"/>
        <v>95</v>
      </c>
      <c r="Z27" s="280">
        <f t="shared" si="13"/>
        <v>0</v>
      </c>
      <c r="AA27" s="260">
        <f t="shared" si="14"/>
        <v>0.67708333333333326</v>
      </c>
      <c r="AB27" s="128">
        <f t="shared" si="15"/>
        <v>10</v>
      </c>
      <c r="AC27" s="261">
        <v>0.69444444444444453</v>
      </c>
      <c r="AD27" s="262">
        <f t="shared" si="16"/>
        <v>25</v>
      </c>
      <c r="AE27" s="266">
        <f t="shared" si="17"/>
        <v>1500</v>
      </c>
      <c r="AF27" s="261" t="s">
        <v>430</v>
      </c>
      <c r="AG27" s="266">
        <f t="shared" si="18"/>
        <v>0</v>
      </c>
      <c r="AH27" s="136">
        <f t="shared" si="19"/>
        <v>0</v>
      </c>
      <c r="AI27" s="128">
        <f t="shared" si="20"/>
        <v>0</v>
      </c>
      <c r="AJ27" s="129">
        <f t="shared" si="21"/>
        <v>0.5083333333333333</v>
      </c>
      <c r="AK27" s="137">
        <v>0.50902777777777775</v>
      </c>
      <c r="AL27" s="134"/>
      <c r="AM27" s="128">
        <f t="shared" si="22"/>
        <v>1</v>
      </c>
      <c r="AN27" s="268">
        <f t="shared" si="23"/>
        <v>0</v>
      </c>
      <c r="AO27" s="278"/>
      <c r="AP27" s="103">
        <f t="shared" si="24"/>
        <v>0.43541666666666662</v>
      </c>
      <c r="AQ27" s="132">
        <f t="shared" si="25"/>
        <v>0</v>
      </c>
      <c r="AR27" s="128">
        <f t="shared" si="26"/>
        <v>2503</v>
      </c>
      <c r="AS27" s="103">
        <f t="shared" si="27"/>
        <v>0.46438657407407402</v>
      </c>
      <c r="AT27" s="135">
        <v>0.46537037037037038</v>
      </c>
      <c r="AU27" s="133">
        <f t="shared" si="28"/>
        <v>85</v>
      </c>
      <c r="AV27" s="134"/>
      <c r="AW27" s="270">
        <f t="shared" ref="AW27:AW33" si="62">IF(NOT(OR(ISBLANK(AP27),ISBLANK(AT27))),ABS(AU27)*ШтрафОпережениеОтставаниеНаРД+IF(ISBLANK(AV27),0,ШтрафФальстартНаДС),"!!!ВРУЧНУЮ!!!")</f>
        <v>85</v>
      </c>
      <c r="AX27" s="127"/>
      <c r="AY27" s="130">
        <v>0.49305555555555558</v>
      </c>
      <c r="AZ27" s="132">
        <f t="shared" si="29"/>
        <v>0</v>
      </c>
      <c r="BA27" s="128">
        <f t="shared" si="30"/>
        <v>409</v>
      </c>
      <c r="BB27" s="128">
        <f t="shared" si="31"/>
        <v>570</v>
      </c>
      <c r="BC27" s="103">
        <f t="shared" si="32"/>
        <v>0.49965277777777778</v>
      </c>
      <c r="BD27" s="135">
        <v>0.49895833333333334</v>
      </c>
      <c r="BE27" s="133">
        <f t="shared" si="33"/>
        <v>-60</v>
      </c>
      <c r="BF27" s="134"/>
      <c r="BG27" s="270">
        <f t="shared" si="34"/>
        <v>0</v>
      </c>
      <c r="BH27" s="127">
        <v>0.52916666666666667</v>
      </c>
      <c r="BI27" s="130">
        <v>0.53055555555555556</v>
      </c>
      <c r="BJ27" s="132">
        <f t="shared" si="35"/>
        <v>2</v>
      </c>
      <c r="BK27" s="128">
        <f t="shared" si="36"/>
        <v>455</v>
      </c>
      <c r="BL27" s="128">
        <f t="shared" si="37"/>
        <v>670</v>
      </c>
      <c r="BM27" s="103">
        <f t="shared" si="38"/>
        <v>0.53831018518518514</v>
      </c>
      <c r="BN27" s="135">
        <v>0.53721064814814812</v>
      </c>
      <c r="BO27" s="133">
        <f t="shared" si="39"/>
        <v>-95</v>
      </c>
      <c r="BP27" s="134"/>
      <c r="BQ27" s="270">
        <f t="shared" si="57"/>
        <v>0</v>
      </c>
      <c r="BR27" s="127">
        <v>0.56736111111111109</v>
      </c>
      <c r="BS27" s="130">
        <v>0.57013888888888886</v>
      </c>
      <c r="BT27" s="132">
        <f t="shared" si="40"/>
        <v>4</v>
      </c>
      <c r="BU27" s="128">
        <f t="shared" si="41"/>
        <v>1936</v>
      </c>
      <c r="BV27" s="103">
        <f t="shared" si="42"/>
        <v>0.59254629629629629</v>
      </c>
      <c r="BW27" s="135">
        <v>0.59499999999999997</v>
      </c>
      <c r="BX27" s="133">
        <f t="shared" si="43"/>
        <v>212</v>
      </c>
      <c r="BY27" s="134"/>
      <c r="BZ27" s="270">
        <f>IF(NOT(OR(ISBLANK(BS27),ISBLANK(BW27))),ABS(BX27)*ШтрафОпережениеОтставаниеНаРД+IF(ISBLANK(BY27),0,ШтрафФальстартНаДС),"!!!ВРУЧНУЮ!!!")</f>
        <v>212</v>
      </c>
      <c r="CA27" s="278"/>
      <c r="CB27" s="130">
        <v>0.61111111111111105</v>
      </c>
      <c r="CC27" s="132">
        <f t="shared" si="45"/>
        <v>0</v>
      </c>
      <c r="CD27" s="128">
        <f t="shared" si="46"/>
        <v>1899</v>
      </c>
      <c r="CE27" s="103">
        <f t="shared" si="47"/>
        <v>0.63309027777777771</v>
      </c>
      <c r="CF27" s="135">
        <v>0.63918981481481485</v>
      </c>
      <c r="CG27" s="133">
        <f t="shared" si="48"/>
        <v>527</v>
      </c>
      <c r="CH27" s="134"/>
      <c r="CI27" s="270">
        <f t="shared" si="59"/>
        <v>527</v>
      </c>
      <c r="CJ27" s="278"/>
      <c r="CK27" s="263">
        <f t="shared" si="50"/>
        <v>0.69444444444444453</v>
      </c>
      <c r="CL27" s="132">
        <f t="shared" si="51"/>
        <v>0</v>
      </c>
      <c r="CM27" s="131">
        <v>60</v>
      </c>
      <c r="CN27" s="440">
        <v>181.16</v>
      </c>
      <c r="CO27" s="147">
        <f t="shared" si="52"/>
        <v>121.2</v>
      </c>
      <c r="CP27" s="134"/>
      <c r="CQ27" s="134"/>
      <c r="CR27" s="134"/>
      <c r="CS27" s="134"/>
      <c r="CT27" s="270">
        <f t="shared" si="53"/>
        <v>1212</v>
      </c>
      <c r="CU27" s="125" t="s">
        <v>591</v>
      </c>
      <c r="CV27" s="126" t="s">
        <v>569</v>
      </c>
      <c r="CW27" s="283">
        <v>6</v>
      </c>
      <c r="CX27" s="282">
        <f t="shared" si="54"/>
        <v>720</v>
      </c>
      <c r="CY27" s="283">
        <v>0</v>
      </c>
      <c r="CZ27" s="282">
        <f t="shared" si="55"/>
        <v>0</v>
      </c>
    </row>
    <row r="28" spans="1:104" x14ac:dyDescent="0.25">
      <c r="A28" s="427">
        <f t="shared" si="61"/>
        <v>6</v>
      </c>
      <c r="B28" s="416">
        <v>30</v>
      </c>
      <c r="C28" s="417" t="s">
        <v>530</v>
      </c>
      <c r="D28" s="417" t="s">
        <v>531</v>
      </c>
      <c r="E28" s="417" t="s">
        <v>533</v>
      </c>
      <c r="F28" s="417" t="s">
        <v>83</v>
      </c>
      <c r="G28" s="416" t="s">
        <v>30</v>
      </c>
      <c r="H28" s="418"/>
      <c r="I28" s="450">
        <f t="shared" si="56"/>
        <v>5126</v>
      </c>
      <c r="J28" s="281"/>
      <c r="K28" s="138"/>
      <c r="L28" s="264">
        <v>0.4375</v>
      </c>
      <c r="M28" s="258">
        <f t="shared" si="1"/>
        <v>105</v>
      </c>
      <c r="N28" s="279">
        <f t="shared" si="2"/>
        <v>0</v>
      </c>
      <c r="O28" s="259">
        <f t="shared" si="3"/>
        <v>0.51041666666666663</v>
      </c>
      <c r="P28" s="263">
        <f t="shared" si="4"/>
        <v>0.51041666666666663</v>
      </c>
      <c r="Q28" s="128">
        <f t="shared" si="5"/>
        <v>0</v>
      </c>
      <c r="R28" s="266">
        <f t="shared" si="6"/>
        <v>0</v>
      </c>
      <c r="S28" s="136">
        <f t="shared" si="7"/>
        <v>140</v>
      </c>
      <c r="T28" s="280">
        <f t="shared" si="8"/>
        <v>3</v>
      </c>
      <c r="U28" s="260">
        <f t="shared" si="9"/>
        <v>0.60763888888888884</v>
      </c>
      <c r="V28" s="261">
        <v>0.61944444444444446</v>
      </c>
      <c r="W28" s="262">
        <f t="shared" si="10"/>
        <v>17</v>
      </c>
      <c r="X28" s="267">
        <f t="shared" si="11"/>
        <v>840</v>
      </c>
      <c r="Y28" s="136">
        <f t="shared" si="12"/>
        <v>95</v>
      </c>
      <c r="Z28" s="280">
        <f t="shared" si="13"/>
        <v>0</v>
      </c>
      <c r="AA28" s="260">
        <f t="shared" si="14"/>
        <v>0.68680555555555556</v>
      </c>
      <c r="AB28" s="128">
        <f t="shared" si="15"/>
        <v>10</v>
      </c>
      <c r="AC28" s="261">
        <v>0.69513888888888886</v>
      </c>
      <c r="AD28" s="262">
        <f t="shared" si="16"/>
        <v>12</v>
      </c>
      <c r="AE28" s="266">
        <f t="shared" si="17"/>
        <v>720</v>
      </c>
      <c r="AF28" s="261" t="s">
        <v>430</v>
      </c>
      <c r="AG28" s="266">
        <f t="shared" si="18"/>
        <v>0</v>
      </c>
      <c r="AH28" s="136">
        <f t="shared" si="19"/>
        <v>0</v>
      </c>
      <c r="AI28" s="128">
        <f t="shared" si="20"/>
        <v>0</v>
      </c>
      <c r="AJ28" s="129">
        <f t="shared" si="21"/>
        <v>0.51041666666666663</v>
      </c>
      <c r="AK28" s="137">
        <v>0.51041666666666663</v>
      </c>
      <c r="AL28" s="134"/>
      <c r="AM28" s="128">
        <f t="shared" si="22"/>
        <v>0</v>
      </c>
      <c r="AN28" s="268">
        <f t="shared" si="23"/>
        <v>0</v>
      </c>
      <c r="AO28" s="278"/>
      <c r="AP28" s="103">
        <f t="shared" si="24"/>
        <v>0.4375</v>
      </c>
      <c r="AQ28" s="132">
        <f t="shared" si="25"/>
        <v>0</v>
      </c>
      <c r="AR28" s="128">
        <f t="shared" si="26"/>
        <v>2503</v>
      </c>
      <c r="AS28" s="103">
        <f t="shared" si="27"/>
        <v>0.4664699074074074</v>
      </c>
      <c r="AT28" s="135">
        <v>0.47673611111111108</v>
      </c>
      <c r="AU28" s="133">
        <f t="shared" si="28"/>
        <v>887</v>
      </c>
      <c r="AV28" s="134"/>
      <c r="AW28" s="270">
        <f t="shared" si="62"/>
        <v>887</v>
      </c>
      <c r="AX28" s="127"/>
      <c r="AY28" s="130">
        <v>0.4993055555555555</v>
      </c>
      <c r="AZ28" s="132">
        <f t="shared" si="29"/>
        <v>0</v>
      </c>
      <c r="BA28" s="128">
        <f t="shared" si="30"/>
        <v>409</v>
      </c>
      <c r="BB28" s="128">
        <f t="shared" si="31"/>
        <v>570</v>
      </c>
      <c r="BC28" s="103">
        <f t="shared" si="32"/>
        <v>0.5059027777777777</v>
      </c>
      <c r="BD28" s="135">
        <v>0.50535879629629632</v>
      </c>
      <c r="BE28" s="133">
        <f t="shared" si="33"/>
        <v>-47</v>
      </c>
      <c r="BF28" s="134"/>
      <c r="BG28" s="270">
        <f t="shared" si="34"/>
        <v>0</v>
      </c>
      <c r="BH28" s="127">
        <v>0.54305555555555551</v>
      </c>
      <c r="BI28" s="446">
        <v>0.54375000000000007</v>
      </c>
      <c r="BJ28" s="132">
        <f t="shared" si="35"/>
        <v>1</v>
      </c>
      <c r="BK28" s="128">
        <f t="shared" si="36"/>
        <v>455</v>
      </c>
      <c r="BL28" s="128">
        <f t="shared" si="37"/>
        <v>670</v>
      </c>
      <c r="BM28" s="103">
        <f t="shared" si="38"/>
        <v>0.55150462962962965</v>
      </c>
      <c r="BN28" s="135">
        <v>0.55127314814814821</v>
      </c>
      <c r="BO28" s="133">
        <f t="shared" si="39"/>
        <v>-20</v>
      </c>
      <c r="BP28" s="134"/>
      <c r="BQ28" s="270">
        <f t="shared" si="57"/>
        <v>0</v>
      </c>
      <c r="BR28" s="446">
        <v>0.57430555555555551</v>
      </c>
      <c r="BS28" s="448">
        <v>0.5756944444444444</v>
      </c>
      <c r="BT28" s="132">
        <f t="shared" si="40"/>
        <v>2</v>
      </c>
      <c r="BU28" s="128">
        <f t="shared" si="41"/>
        <v>1936</v>
      </c>
      <c r="BV28" s="103">
        <f t="shared" si="42"/>
        <v>0.59810185185185183</v>
      </c>
      <c r="BW28" s="135">
        <v>0.60039351851851852</v>
      </c>
      <c r="BX28" s="133">
        <f t="shared" si="43"/>
        <v>198</v>
      </c>
      <c r="BY28" s="134"/>
      <c r="BZ28" s="270">
        <f>IF(NOT(OR(ISBLANK(BS27),ISBLANK(BW28))),ABS(BX28)*ШтрафОпережениеОтставаниеНаРД+IF(ISBLANK(BY28),0,ШтрафФальстартНаДС),"!!!ВРУЧНУЮ!!!")</f>
        <v>198</v>
      </c>
      <c r="CA28" s="278"/>
      <c r="CB28" s="130">
        <v>0.62083333333333335</v>
      </c>
      <c r="CC28" s="132">
        <f t="shared" si="45"/>
        <v>0</v>
      </c>
      <c r="CD28" s="128">
        <f t="shared" si="46"/>
        <v>1899</v>
      </c>
      <c r="CE28" s="103">
        <f t="shared" si="47"/>
        <v>0.64281250000000001</v>
      </c>
      <c r="CF28" s="135">
        <v>0.64634259259259264</v>
      </c>
      <c r="CG28" s="133">
        <f t="shared" si="48"/>
        <v>305</v>
      </c>
      <c r="CH28" s="134"/>
      <c r="CI28" s="270">
        <f t="shared" si="59"/>
        <v>305</v>
      </c>
      <c r="CJ28" s="278"/>
      <c r="CK28" s="263">
        <f t="shared" si="50"/>
        <v>0.69513888888888886</v>
      </c>
      <c r="CL28" s="132">
        <f t="shared" si="51"/>
        <v>0</v>
      </c>
      <c r="CM28" s="131">
        <v>60</v>
      </c>
      <c r="CN28" s="440">
        <v>125.57</v>
      </c>
      <c r="CO28" s="147">
        <f t="shared" si="52"/>
        <v>65.599999999999994</v>
      </c>
      <c r="CP28" s="134"/>
      <c r="CQ28" s="134"/>
      <c r="CR28" s="134"/>
      <c r="CS28" s="134">
        <v>1</v>
      </c>
      <c r="CT28" s="270">
        <f t="shared" si="53"/>
        <v>856</v>
      </c>
      <c r="CU28" s="125" t="s">
        <v>594</v>
      </c>
      <c r="CV28" s="126" t="s">
        <v>569</v>
      </c>
      <c r="CW28" s="283">
        <v>11</v>
      </c>
      <c r="CX28" s="282">
        <f t="shared" si="54"/>
        <v>1320</v>
      </c>
      <c r="CY28" s="283">
        <v>0</v>
      </c>
      <c r="CZ28" s="282">
        <f t="shared" si="55"/>
        <v>0</v>
      </c>
    </row>
    <row r="29" spans="1:104" x14ac:dyDescent="0.25">
      <c r="A29" s="427">
        <f t="shared" si="61"/>
        <v>7</v>
      </c>
      <c r="B29" s="416">
        <v>22</v>
      </c>
      <c r="C29" s="417" t="s">
        <v>161</v>
      </c>
      <c r="D29" s="417" t="s">
        <v>500</v>
      </c>
      <c r="E29" s="417" t="s">
        <v>162</v>
      </c>
      <c r="F29" s="417" t="s">
        <v>163</v>
      </c>
      <c r="G29" s="416" t="s">
        <v>30</v>
      </c>
      <c r="H29" s="418"/>
      <c r="I29" s="450">
        <f t="shared" si="56"/>
        <v>5174</v>
      </c>
      <c r="J29" s="281"/>
      <c r="K29" s="138"/>
      <c r="L29" s="264">
        <v>0.43194444444444446</v>
      </c>
      <c r="M29" s="258">
        <f t="shared" si="1"/>
        <v>105</v>
      </c>
      <c r="N29" s="279">
        <f t="shared" si="2"/>
        <v>0</v>
      </c>
      <c r="O29" s="259">
        <f t="shared" si="3"/>
        <v>0.50486111111111109</v>
      </c>
      <c r="P29" s="263">
        <f t="shared" si="4"/>
        <v>0.50486111111111109</v>
      </c>
      <c r="Q29" s="128">
        <f t="shared" si="5"/>
        <v>0</v>
      </c>
      <c r="R29" s="266">
        <f t="shared" si="6"/>
        <v>0</v>
      </c>
      <c r="S29" s="136">
        <f t="shared" si="7"/>
        <v>140</v>
      </c>
      <c r="T29" s="280">
        <f t="shared" si="8"/>
        <v>5</v>
      </c>
      <c r="U29" s="260">
        <f t="shared" si="9"/>
        <v>0.6020833333333333</v>
      </c>
      <c r="V29" s="261">
        <v>0.60763888888888895</v>
      </c>
      <c r="W29" s="262">
        <f t="shared" si="10"/>
        <v>8</v>
      </c>
      <c r="X29" s="267">
        <f t="shared" si="11"/>
        <v>180</v>
      </c>
      <c r="Y29" s="136">
        <f t="shared" si="12"/>
        <v>95</v>
      </c>
      <c r="Z29" s="280">
        <f t="shared" si="13"/>
        <v>0</v>
      </c>
      <c r="AA29" s="260">
        <f t="shared" si="14"/>
        <v>0.67500000000000004</v>
      </c>
      <c r="AB29" s="128">
        <f t="shared" si="15"/>
        <v>10</v>
      </c>
      <c r="AC29" s="261">
        <v>0.67222222222222217</v>
      </c>
      <c r="AD29" s="262">
        <f t="shared" si="16"/>
        <v>-4</v>
      </c>
      <c r="AE29" s="266">
        <f t="shared" si="17"/>
        <v>0</v>
      </c>
      <c r="AF29" s="261" t="s">
        <v>430</v>
      </c>
      <c r="AG29" s="266">
        <f t="shared" si="18"/>
        <v>0</v>
      </c>
      <c r="AH29" s="136">
        <f t="shared" si="19"/>
        <v>0</v>
      </c>
      <c r="AI29" s="128">
        <f t="shared" si="20"/>
        <v>0</v>
      </c>
      <c r="AJ29" s="129">
        <f t="shared" si="21"/>
        <v>0.50486111111111109</v>
      </c>
      <c r="AK29" s="137">
        <v>0.51111111111111118</v>
      </c>
      <c r="AL29" s="134"/>
      <c r="AM29" s="128">
        <f t="shared" si="22"/>
        <v>9</v>
      </c>
      <c r="AN29" s="268">
        <f t="shared" si="23"/>
        <v>0</v>
      </c>
      <c r="AO29" s="278"/>
      <c r="AP29" s="103">
        <f t="shared" si="24"/>
        <v>0.43194444444444446</v>
      </c>
      <c r="AQ29" s="132">
        <f t="shared" si="25"/>
        <v>0</v>
      </c>
      <c r="AR29" s="128">
        <f t="shared" si="26"/>
        <v>2503</v>
      </c>
      <c r="AS29" s="103">
        <f t="shared" si="27"/>
        <v>0.46091435185185187</v>
      </c>
      <c r="AT29" s="135">
        <v>0.48054398148148153</v>
      </c>
      <c r="AU29" s="133">
        <f t="shared" si="28"/>
        <v>1696</v>
      </c>
      <c r="AV29" s="134"/>
      <c r="AW29" s="270">
        <f t="shared" si="62"/>
        <v>1696</v>
      </c>
      <c r="AX29" s="127"/>
      <c r="AY29" s="130">
        <v>0.49861111111111112</v>
      </c>
      <c r="AZ29" s="132">
        <f t="shared" si="29"/>
        <v>0</v>
      </c>
      <c r="BA29" s="128">
        <f t="shared" si="30"/>
        <v>409</v>
      </c>
      <c r="BB29" s="128">
        <f t="shared" si="31"/>
        <v>570</v>
      </c>
      <c r="BC29" s="103">
        <f t="shared" si="32"/>
        <v>0.50520833333333337</v>
      </c>
      <c r="BD29" s="135">
        <v>0.50516203703703699</v>
      </c>
      <c r="BE29" s="133">
        <f t="shared" si="33"/>
        <v>-4</v>
      </c>
      <c r="BF29" s="134"/>
      <c r="BG29" s="270">
        <f t="shared" si="34"/>
        <v>0</v>
      </c>
      <c r="BH29" s="127">
        <v>0.53333333333333333</v>
      </c>
      <c r="BI29" s="130">
        <v>0.53402777777777777</v>
      </c>
      <c r="BJ29" s="132">
        <f t="shared" si="35"/>
        <v>1</v>
      </c>
      <c r="BK29" s="128">
        <f t="shared" si="36"/>
        <v>455</v>
      </c>
      <c r="BL29" s="128">
        <f t="shared" si="37"/>
        <v>670</v>
      </c>
      <c r="BM29" s="103">
        <f t="shared" si="38"/>
        <v>0.54178240740740735</v>
      </c>
      <c r="BN29" s="135">
        <v>0.54178240740740746</v>
      </c>
      <c r="BO29" s="133">
        <f t="shared" si="39"/>
        <v>0</v>
      </c>
      <c r="BP29" s="134"/>
      <c r="BQ29" s="270">
        <f t="shared" si="57"/>
        <v>0</v>
      </c>
      <c r="BR29" s="127">
        <v>0.57361111111111118</v>
      </c>
      <c r="BS29" s="130">
        <v>0.57638888888888895</v>
      </c>
      <c r="BT29" s="132">
        <f t="shared" si="40"/>
        <v>4</v>
      </c>
      <c r="BU29" s="128">
        <f t="shared" si="41"/>
        <v>1936</v>
      </c>
      <c r="BV29" s="103">
        <f t="shared" si="42"/>
        <v>0.59879629629629638</v>
      </c>
      <c r="BW29" s="135">
        <v>0.59214120370370371</v>
      </c>
      <c r="BX29" s="133">
        <f t="shared" si="43"/>
        <v>-575</v>
      </c>
      <c r="BY29" s="134"/>
      <c r="BZ29" s="270">
        <f t="shared" ref="BZ29:BZ34" si="63">IF(NOT(OR(ISBLANK(BS29),ISBLANK(BW29))),ABS(BX29)*ШтрафОпережениеОтставаниеНаРД+IF(ISBLANK(BY29),0,ШтрафФальстартНаДС),"!!!ВРУЧНУЮ!!!")</f>
        <v>575</v>
      </c>
      <c r="CA29" s="278"/>
      <c r="CB29" s="130">
        <v>0.60902777777777783</v>
      </c>
      <c r="CC29" s="132">
        <f t="shared" si="45"/>
        <v>0</v>
      </c>
      <c r="CD29" s="128">
        <f t="shared" si="46"/>
        <v>1899</v>
      </c>
      <c r="CE29" s="103">
        <f t="shared" si="47"/>
        <v>0.6310069444444445</v>
      </c>
      <c r="CF29" s="135">
        <v>0.64043981481481482</v>
      </c>
      <c r="CG29" s="133">
        <f t="shared" si="48"/>
        <v>815</v>
      </c>
      <c r="CH29" s="134"/>
      <c r="CI29" s="270">
        <f t="shared" si="59"/>
        <v>815</v>
      </c>
      <c r="CJ29" s="278"/>
      <c r="CK29" s="263">
        <f t="shared" si="50"/>
        <v>0.67222222222222217</v>
      </c>
      <c r="CL29" s="132">
        <f t="shared" si="51"/>
        <v>0</v>
      </c>
      <c r="CM29" s="131">
        <v>60</v>
      </c>
      <c r="CN29" s="440">
        <v>94.8</v>
      </c>
      <c r="CO29" s="147">
        <f t="shared" si="52"/>
        <v>34.799999999999997</v>
      </c>
      <c r="CP29" s="134"/>
      <c r="CQ29" s="134"/>
      <c r="CR29" s="134"/>
      <c r="CS29" s="134"/>
      <c r="CT29" s="270">
        <f t="shared" si="53"/>
        <v>348</v>
      </c>
      <c r="CU29" s="125" t="s">
        <v>587</v>
      </c>
      <c r="CV29" s="126" t="s">
        <v>569</v>
      </c>
      <c r="CW29" s="283">
        <v>13</v>
      </c>
      <c r="CX29" s="282">
        <f t="shared" si="54"/>
        <v>1560</v>
      </c>
      <c r="CY29" s="283">
        <v>0</v>
      </c>
      <c r="CZ29" s="282">
        <f t="shared" si="55"/>
        <v>0</v>
      </c>
    </row>
    <row r="30" spans="1:104" x14ac:dyDescent="0.25">
      <c r="A30" s="427">
        <f t="shared" si="61"/>
        <v>8</v>
      </c>
      <c r="B30" s="416">
        <v>25</v>
      </c>
      <c r="C30" s="417" t="s">
        <v>510</v>
      </c>
      <c r="D30" s="417" t="s">
        <v>511</v>
      </c>
      <c r="E30" s="417" t="s">
        <v>512</v>
      </c>
      <c r="F30" s="417" t="s">
        <v>513</v>
      </c>
      <c r="G30" s="416" t="s">
        <v>30</v>
      </c>
      <c r="H30" s="418"/>
      <c r="I30" s="450">
        <f t="shared" si="56"/>
        <v>5947</v>
      </c>
      <c r="J30" s="281"/>
      <c r="K30" s="138"/>
      <c r="L30" s="264">
        <v>0.43402777777777773</v>
      </c>
      <c r="M30" s="258">
        <f t="shared" si="1"/>
        <v>105</v>
      </c>
      <c r="N30" s="279">
        <f t="shared" si="2"/>
        <v>0</v>
      </c>
      <c r="O30" s="259">
        <f t="shared" si="3"/>
        <v>0.50694444444444442</v>
      </c>
      <c r="P30" s="263">
        <f t="shared" si="4"/>
        <v>0.50694444444444442</v>
      </c>
      <c r="Q30" s="128">
        <f t="shared" si="5"/>
        <v>0</v>
      </c>
      <c r="R30" s="266">
        <f t="shared" si="6"/>
        <v>0</v>
      </c>
      <c r="S30" s="136">
        <f t="shared" si="7"/>
        <v>140</v>
      </c>
      <c r="T30" s="280">
        <f t="shared" si="8"/>
        <v>1</v>
      </c>
      <c r="U30" s="260">
        <f t="shared" si="9"/>
        <v>0.60416666666666663</v>
      </c>
      <c r="V30" s="261">
        <v>0.60416666666666663</v>
      </c>
      <c r="W30" s="262">
        <f t="shared" si="10"/>
        <v>0</v>
      </c>
      <c r="X30" s="267">
        <f t="shared" si="11"/>
        <v>0</v>
      </c>
      <c r="Y30" s="136">
        <f t="shared" si="12"/>
        <v>95</v>
      </c>
      <c r="Z30" s="280">
        <f t="shared" si="13"/>
        <v>0</v>
      </c>
      <c r="AA30" s="260">
        <f t="shared" si="14"/>
        <v>0.67152777777777772</v>
      </c>
      <c r="AB30" s="128">
        <f t="shared" si="15"/>
        <v>10</v>
      </c>
      <c r="AC30" s="261">
        <v>0.69027777777777777</v>
      </c>
      <c r="AD30" s="262">
        <f t="shared" si="16"/>
        <v>27</v>
      </c>
      <c r="AE30" s="266">
        <f t="shared" si="17"/>
        <v>1620</v>
      </c>
      <c r="AF30" s="261" t="s">
        <v>430</v>
      </c>
      <c r="AG30" s="266">
        <f t="shared" si="18"/>
        <v>0</v>
      </c>
      <c r="AH30" s="136">
        <f t="shared" si="19"/>
        <v>0</v>
      </c>
      <c r="AI30" s="128">
        <f t="shared" si="20"/>
        <v>0</v>
      </c>
      <c r="AJ30" s="129">
        <f t="shared" si="21"/>
        <v>0.50694444444444442</v>
      </c>
      <c r="AK30" s="137">
        <v>0.50763888888888886</v>
      </c>
      <c r="AL30" s="134"/>
      <c r="AM30" s="128">
        <f t="shared" si="22"/>
        <v>1</v>
      </c>
      <c r="AN30" s="268">
        <f t="shared" si="23"/>
        <v>0</v>
      </c>
      <c r="AO30" s="278"/>
      <c r="AP30" s="103">
        <f t="shared" si="24"/>
        <v>0.43402777777777773</v>
      </c>
      <c r="AQ30" s="132">
        <f t="shared" si="25"/>
        <v>0</v>
      </c>
      <c r="AR30" s="128">
        <f t="shared" si="26"/>
        <v>2503</v>
      </c>
      <c r="AS30" s="103">
        <f t="shared" si="27"/>
        <v>0.46299768518518514</v>
      </c>
      <c r="AT30" s="135">
        <v>0.4722453703703704</v>
      </c>
      <c r="AU30" s="133">
        <f t="shared" si="28"/>
        <v>799</v>
      </c>
      <c r="AV30" s="134"/>
      <c r="AW30" s="270">
        <f t="shared" si="62"/>
        <v>799</v>
      </c>
      <c r="AX30" s="127"/>
      <c r="AY30" s="130">
        <v>0.4909722222222222</v>
      </c>
      <c r="AZ30" s="132">
        <f t="shared" si="29"/>
        <v>0</v>
      </c>
      <c r="BA30" s="128">
        <f t="shared" si="30"/>
        <v>409</v>
      </c>
      <c r="BB30" s="128">
        <f t="shared" si="31"/>
        <v>570</v>
      </c>
      <c r="BC30" s="103">
        <f t="shared" si="32"/>
        <v>0.4975694444444444</v>
      </c>
      <c r="BD30" s="135">
        <v>0.49679398148148146</v>
      </c>
      <c r="BE30" s="133">
        <f t="shared" si="33"/>
        <v>-67</v>
      </c>
      <c r="BF30" s="134"/>
      <c r="BG30" s="270">
        <f t="shared" si="34"/>
        <v>0</v>
      </c>
      <c r="BH30" s="127">
        <v>0.52569444444444446</v>
      </c>
      <c r="BI30" s="443">
        <v>0.52638888888888891</v>
      </c>
      <c r="BJ30" s="132">
        <f t="shared" si="35"/>
        <v>1</v>
      </c>
      <c r="BK30" s="128">
        <f t="shared" si="36"/>
        <v>455</v>
      </c>
      <c r="BL30" s="128">
        <f t="shared" si="37"/>
        <v>670</v>
      </c>
      <c r="BM30" s="103">
        <f t="shared" si="38"/>
        <v>0.53414351851851849</v>
      </c>
      <c r="BN30" s="135">
        <v>0.53289351851851852</v>
      </c>
      <c r="BO30" s="133">
        <f t="shared" si="39"/>
        <v>-108</v>
      </c>
      <c r="BP30" s="134"/>
      <c r="BQ30" s="270">
        <f t="shared" si="57"/>
        <v>0</v>
      </c>
      <c r="BR30" s="127"/>
      <c r="BS30" s="130">
        <v>0.56388888888888888</v>
      </c>
      <c r="BT30" s="132">
        <f t="shared" si="40"/>
        <v>0</v>
      </c>
      <c r="BU30" s="128">
        <f t="shared" si="41"/>
        <v>1936</v>
      </c>
      <c r="BV30" s="103">
        <f t="shared" si="42"/>
        <v>0.58629629629629632</v>
      </c>
      <c r="BW30" s="135">
        <v>0.58400462962962962</v>
      </c>
      <c r="BX30" s="133">
        <f t="shared" si="43"/>
        <v>-198</v>
      </c>
      <c r="BY30" s="134"/>
      <c r="BZ30" s="270">
        <f t="shared" si="63"/>
        <v>198</v>
      </c>
      <c r="CA30" s="278"/>
      <c r="CB30" s="130">
        <v>0.60555555555555551</v>
      </c>
      <c r="CC30" s="132">
        <f t="shared" si="45"/>
        <v>0</v>
      </c>
      <c r="CD30" s="128">
        <f t="shared" si="46"/>
        <v>1899</v>
      </c>
      <c r="CE30" s="103">
        <f t="shared" si="47"/>
        <v>0.62753472222222217</v>
      </c>
      <c r="CF30" s="135">
        <v>0.64858796296296295</v>
      </c>
      <c r="CG30" s="133">
        <f t="shared" si="48"/>
        <v>1819</v>
      </c>
      <c r="CH30" s="134"/>
      <c r="CI30" s="270">
        <f t="shared" si="59"/>
        <v>1819</v>
      </c>
      <c r="CJ30" s="278"/>
      <c r="CK30" s="263">
        <f t="shared" si="50"/>
        <v>0.69027777777777777</v>
      </c>
      <c r="CL30" s="132">
        <f t="shared" si="51"/>
        <v>0</v>
      </c>
      <c r="CM30" s="131">
        <v>60</v>
      </c>
      <c r="CN30" s="440">
        <v>115.09</v>
      </c>
      <c r="CO30" s="147">
        <f t="shared" si="52"/>
        <v>55.1</v>
      </c>
      <c r="CP30" s="134"/>
      <c r="CQ30" s="134"/>
      <c r="CR30" s="134"/>
      <c r="CS30" s="134"/>
      <c r="CT30" s="270">
        <f t="shared" si="53"/>
        <v>551</v>
      </c>
      <c r="CU30" s="125" t="s">
        <v>590</v>
      </c>
      <c r="CV30" s="126" t="s">
        <v>569</v>
      </c>
      <c r="CW30" s="283">
        <v>8</v>
      </c>
      <c r="CX30" s="282">
        <f t="shared" si="54"/>
        <v>960</v>
      </c>
      <c r="CY30" s="283">
        <v>0</v>
      </c>
      <c r="CZ30" s="282">
        <f t="shared" si="55"/>
        <v>0</v>
      </c>
    </row>
    <row r="31" spans="1:104" x14ac:dyDescent="0.25">
      <c r="A31" s="427">
        <f t="shared" si="61"/>
        <v>9</v>
      </c>
      <c r="B31" s="416">
        <v>1</v>
      </c>
      <c r="C31" s="417" t="s">
        <v>431</v>
      </c>
      <c r="D31" s="417" t="s">
        <v>42</v>
      </c>
      <c r="E31" s="417" t="s">
        <v>84</v>
      </c>
      <c r="F31" s="417" t="s">
        <v>85</v>
      </c>
      <c r="G31" s="416" t="s">
        <v>30</v>
      </c>
      <c r="H31" s="418"/>
      <c r="I31" s="450">
        <f t="shared" si="56"/>
        <v>6059</v>
      </c>
      <c r="J31" s="281"/>
      <c r="K31" s="138"/>
      <c r="L31" s="264">
        <v>0.41736111111111113</v>
      </c>
      <c r="M31" s="258">
        <f t="shared" si="1"/>
        <v>105</v>
      </c>
      <c r="N31" s="279">
        <f t="shared" si="2"/>
        <v>0</v>
      </c>
      <c r="O31" s="259">
        <f t="shared" si="3"/>
        <v>0.49027777777777781</v>
      </c>
      <c r="P31" s="263">
        <f t="shared" si="4"/>
        <v>0.49027777777777781</v>
      </c>
      <c r="Q31" s="128">
        <f t="shared" si="5"/>
        <v>0</v>
      </c>
      <c r="R31" s="266">
        <f t="shared" si="6"/>
        <v>0</v>
      </c>
      <c r="S31" s="136">
        <f t="shared" si="7"/>
        <v>140</v>
      </c>
      <c r="T31" s="280">
        <f t="shared" si="8"/>
        <v>2</v>
      </c>
      <c r="U31" s="260">
        <f t="shared" si="9"/>
        <v>0.58750000000000002</v>
      </c>
      <c r="V31" s="261">
        <v>0.6</v>
      </c>
      <c r="W31" s="262">
        <f t="shared" si="10"/>
        <v>18</v>
      </c>
      <c r="X31" s="267">
        <f t="shared" si="11"/>
        <v>960</v>
      </c>
      <c r="Y31" s="136">
        <f t="shared" si="12"/>
        <v>95</v>
      </c>
      <c r="Z31" s="280">
        <f t="shared" si="13"/>
        <v>0</v>
      </c>
      <c r="AA31" s="260">
        <f t="shared" si="14"/>
        <v>0.66805555555555551</v>
      </c>
      <c r="AB31" s="128">
        <f t="shared" si="15"/>
        <v>10</v>
      </c>
      <c r="AC31" s="261">
        <v>0.67152777777777783</v>
      </c>
      <c r="AD31" s="262">
        <f t="shared" si="16"/>
        <v>5</v>
      </c>
      <c r="AE31" s="266">
        <f t="shared" si="17"/>
        <v>300</v>
      </c>
      <c r="AF31" s="261" t="s">
        <v>430</v>
      </c>
      <c r="AG31" s="266">
        <f t="shared" si="18"/>
        <v>0</v>
      </c>
      <c r="AH31" s="136">
        <f t="shared" si="19"/>
        <v>0</v>
      </c>
      <c r="AI31" s="128">
        <f t="shared" si="20"/>
        <v>0</v>
      </c>
      <c r="AJ31" s="129">
        <f t="shared" si="21"/>
        <v>0.49027777777777781</v>
      </c>
      <c r="AK31" s="137">
        <v>0.4909722222222222</v>
      </c>
      <c r="AL31" s="134"/>
      <c r="AM31" s="128">
        <f t="shared" si="22"/>
        <v>1</v>
      </c>
      <c r="AN31" s="268">
        <f t="shared" si="23"/>
        <v>0</v>
      </c>
      <c r="AO31" s="278"/>
      <c r="AP31" s="103">
        <f t="shared" si="24"/>
        <v>0.41736111111111113</v>
      </c>
      <c r="AQ31" s="132">
        <f t="shared" si="25"/>
        <v>0</v>
      </c>
      <c r="AR31" s="128">
        <f t="shared" si="26"/>
        <v>2503</v>
      </c>
      <c r="AS31" s="103">
        <f t="shared" si="27"/>
        <v>0.44633101851851853</v>
      </c>
      <c r="AT31" s="135">
        <v>0.45626157407407408</v>
      </c>
      <c r="AU31" s="133">
        <f t="shared" si="28"/>
        <v>858</v>
      </c>
      <c r="AV31" s="134"/>
      <c r="AW31" s="270">
        <f t="shared" si="62"/>
        <v>858</v>
      </c>
      <c r="AX31" s="127"/>
      <c r="AY31" s="130">
        <v>0.4770833333333333</v>
      </c>
      <c r="AZ31" s="132">
        <f t="shared" si="29"/>
        <v>0</v>
      </c>
      <c r="BA31" s="128">
        <f t="shared" si="30"/>
        <v>409</v>
      </c>
      <c r="BB31" s="128">
        <f t="shared" si="31"/>
        <v>570</v>
      </c>
      <c r="BC31" s="103">
        <f t="shared" si="32"/>
        <v>0.4836805555555555</v>
      </c>
      <c r="BD31" s="135">
        <v>0.48350694444444442</v>
      </c>
      <c r="BE31" s="133">
        <f t="shared" si="33"/>
        <v>-15</v>
      </c>
      <c r="BF31" s="134"/>
      <c r="BG31" s="270">
        <f t="shared" si="34"/>
        <v>0</v>
      </c>
      <c r="BH31" s="127">
        <v>0.51527777777777783</v>
      </c>
      <c r="BI31" s="130">
        <v>0.51666666666666672</v>
      </c>
      <c r="BJ31" s="132">
        <f t="shared" si="35"/>
        <v>2</v>
      </c>
      <c r="BK31" s="128">
        <f t="shared" si="36"/>
        <v>455</v>
      </c>
      <c r="BL31" s="128">
        <f t="shared" si="37"/>
        <v>670</v>
      </c>
      <c r="BM31" s="103">
        <f t="shared" si="38"/>
        <v>0.5244212962962963</v>
      </c>
      <c r="BN31" s="135">
        <v>0.52487268518518515</v>
      </c>
      <c r="BO31" s="133">
        <f t="shared" si="39"/>
        <v>39</v>
      </c>
      <c r="BP31" s="134"/>
      <c r="BQ31" s="270">
        <f t="shared" si="57"/>
        <v>39</v>
      </c>
      <c r="BR31" s="127"/>
      <c r="BS31" s="130">
        <v>0.5541666666666667</v>
      </c>
      <c r="BT31" s="132">
        <f t="shared" si="40"/>
        <v>0</v>
      </c>
      <c r="BU31" s="128">
        <f t="shared" si="41"/>
        <v>1936</v>
      </c>
      <c r="BV31" s="103">
        <f t="shared" si="42"/>
        <v>0.57657407407407413</v>
      </c>
      <c r="BW31" s="135">
        <v>0.58473379629629629</v>
      </c>
      <c r="BX31" s="133">
        <f t="shared" si="43"/>
        <v>705</v>
      </c>
      <c r="BY31" s="134"/>
      <c r="BZ31" s="270">
        <f t="shared" si="63"/>
        <v>705</v>
      </c>
      <c r="CA31" s="278"/>
      <c r="CB31" s="130">
        <v>0.6020833333333333</v>
      </c>
      <c r="CC31" s="132">
        <f t="shared" si="45"/>
        <v>0</v>
      </c>
      <c r="CD31" s="128">
        <f t="shared" si="46"/>
        <v>1899</v>
      </c>
      <c r="CE31" s="103">
        <f t="shared" si="47"/>
        <v>0.62406249999999996</v>
      </c>
      <c r="CF31" s="135">
        <v>0.63771990740740747</v>
      </c>
      <c r="CG31" s="133">
        <f t="shared" si="48"/>
        <v>1180</v>
      </c>
      <c r="CH31" s="134"/>
      <c r="CI31" s="270">
        <f t="shared" si="59"/>
        <v>1180</v>
      </c>
      <c r="CJ31" s="278"/>
      <c r="CK31" s="263">
        <f t="shared" si="50"/>
        <v>0.67152777777777783</v>
      </c>
      <c r="CL31" s="132">
        <f t="shared" si="51"/>
        <v>0</v>
      </c>
      <c r="CM31" s="131">
        <v>60</v>
      </c>
      <c r="CN31" s="440">
        <v>141.71</v>
      </c>
      <c r="CO31" s="147">
        <f t="shared" si="52"/>
        <v>81.7</v>
      </c>
      <c r="CP31" s="134"/>
      <c r="CQ31" s="134"/>
      <c r="CR31" s="134"/>
      <c r="CS31" s="134"/>
      <c r="CT31" s="270">
        <f t="shared" si="53"/>
        <v>817</v>
      </c>
      <c r="CU31" s="125" t="s">
        <v>570</v>
      </c>
      <c r="CV31" s="126" t="s">
        <v>569</v>
      </c>
      <c r="CW31" s="283">
        <v>10</v>
      </c>
      <c r="CX31" s="282">
        <f t="shared" si="54"/>
        <v>1200</v>
      </c>
      <c r="CY31" s="283">
        <v>0</v>
      </c>
      <c r="CZ31" s="282">
        <f t="shared" si="55"/>
        <v>0</v>
      </c>
    </row>
    <row r="32" spans="1:104" x14ac:dyDescent="0.25">
      <c r="A32" s="427">
        <f t="shared" si="61"/>
        <v>10</v>
      </c>
      <c r="B32" s="416">
        <v>23</v>
      </c>
      <c r="C32" s="417" t="s">
        <v>129</v>
      </c>
      <c r="D32" s="417" t="s">
        <v>506</v>
      </c>
      <c r="E32" s="417" t="s">
        <v>130</v>
      </c>
      <c r="F32" s="417" t="s">
        <v>131</v>
      </c>
      <c r="G32" s="416" t="s">
        <v>30</v>
      </c>
      <c r="H32" s="418"/>
      <c r="I32" s="450">
        <f t="shared" si="56"/>
        <v>6242</v>
      </c>
      <c r="J32" s="281"/>
      <c r="K32" s="138"/>
      <c r="L32" s="264">
        <v>0.43263888888888885</v>
      </c>
      <c r="M32" s="258">
        <f t="shared" si="1"/>
        <v>105</v>
      </c>
      <c r="N32" s="279">
        <f t="shared" si="2"/>
        <v>0</v>
      </c>
      <c r="O32" s="259">
        <f t="shared" si="3"/>
        <v>0.50555555555555554</v>
      </c>
      <c r="P32" s="263">
        <f t="shared" si="4"/>
        <v>0.50555555555555554</v>
      </c>
      <c r="Q32" s="128">
        <f t="shared" si="5"/>
        <v>0</v>
      </c>
      <c r="R32" s="266">
        <f t="shared" si="6"/>
        <v>0</v>
      </c>
      <c r="S32" s="136">
        <f t="shared" si="7"/>
        <v>140</v>
      </c>
      <c r="T32" s="280">
        <f t="shared" si="8"/>
        <v>2</v>
      </c>
      <c r="U32" s="260">
        <f t="shared" si="9"/>
        <v>0.60277777777777775</v>
      </c>
      <c r="V32" s="261">
        <v>0.60833333333333328</v>
      </c>
      <c r="W32" s="262">
        <f t="shared" si="10"/>
        <v>8</v>
      </c>
      <c r="X32" s="267">
        <f t="shared" si="11"/>
        <v>360</v>
      </c>
      <c r="Y32" s="136">
        <f t="shared" si="12"/>
        <v>95</v>
      </c>
      <c r="Z32" s="280">
        <f t="shared" si="13"/>
        <v>0</v>
      </c>
      <c r="AA32" s="260">
        <f t="shared" si="14"/>
        <v>0.67638888888888893</v>
      </c>
      <c r="AB32" s="128">
        <f t="shared" si="15"/>
        <v>10</v>
      </c>
      <c r="AC32" s="261">
        <v>0.68611111111111101</v>
      </c>
      <c r="AD32" s="262">
        <f t="shared" si="16"/>
        <v>14</v>
      </c>
      <c r="AE32" s="266">
        <f t="shared" si="17"/>
        <v>840</v>
      </c>
      <c r="AF32" s="261" t="s">
        <v>430</v>
      </c>
      <c r="AG32" s="266">
        <f t="shared" si="18"/>
        <v>0</v>
      </c>
      <c r="AH32" s="136">
        <f t="shared" si="19"/>
        <v>0</v>
      </c>
      <c r="AI32" s="128">
        <f t="shared" si="20"/>
        <v>0</v>
      </c>
      <c r="AJ32" s="129">
        <f t="shared" si="21"/>
        <v>0.50555555555555554</v>
      </c>
      <c r="AK32" s="137">
        <v>0.50624999999999998</v>
      </c>
      <c r="AL32" s="134"/>
      <c r="AM32" s="128">
        <f t="shared" si="22"/>
        <v>1</v>
      </c>
      <c r="AN32" s="268">
        <f t="shared" si="23"/>
        <v>0</v>
      </c>
      <c r="AO32" s="278"/>
      <c r="AP32" s="103">
        <f t="shared" si="24"/>
        <v>0.43263888888888885</v>
      </c>
      <c r="AQ32" s="132">
        <f t="shared" si="25"/>
        <v>0</v>
      </c>
      <c r="AR32" s="128">
        <f t="shared" si="26"/>
        <v>2503</v>
      </c>
      <c r="AS32" s="103">
        <f t="shared" si="27"/>
        <v>0.46160879629629625</v>
      </c>
      <c r="AT32" s="135">
        <v>0.44988425925925929</v>
      </c>
      <c r="AU32" s="133">
        <f t="shared" si="28"/>
        <v>-1013</v>
      </c>
      <c r="AV32" s="134"/>
      <c r="AW32" s="270">
        <f t="shared" si="62"/>
        <v>1013</v>
      </c>
      <c r="AX32" s="127"/>
      <c r="AY32" s="130">
        <v>0.49027777777777781</v>
      </c>
      <c r="AZ32" s="132">
        <f t="shared" si="29"/>
        <v>0</v>
      </c>
      <c r="BA32" s="128">
        <f t="shared" si="30"/>
        <v>409</v>
      </c>
      <c r="BB32" s="128">
        <f t="shared" si="31"/>
        <v>570</v>
      </c>
      <c r="BC32" s="103">
        <f t="shared" si="32"/>
        <v>0.49687500000000001</v>
      </c>
      <c r="BD32" s="135">
        <v>0.49674768518518514</v>
      </c>
      <c r="BE32" s="133">
        <f t="shared" si="33"/>
        <v>-11</v>
      </c>
      <c r="BF32" s="134"/>
      <c r="BG32" s="270">
        <f t="shared" si="34"/>
        <v>0</v>
      </c>
      <c r="BH32" s="127">
        <v>0.53125</v>
      </c>
      <c r="BI32" s="130">
        <v>0.53263888888888888</v>
      </c>
      <c r="BJ32" s="132">
        <f t="shared" si="35"/>
        <v>2</v>
      </c>
      <c r="BK32" s="128">
        <f t="shared" si="36"/>
        <v>455</v>
      </c>
      <c r="BL32" s="128">
        <f t="shared" si="37"/>
        <v>670</v>
      </c>
      <c r="BM32" s="103">
        <f t="shared" si="38"/>
        <v>0.54039351851851847</v>
      </c>
      <c r="BN32" s="135">
        <v>0.54050925925925919</v>
      </c>
      <c r="BO32" s="133">
        <f t="shared" si="39"/>
        <v>10</v>
      </c>
      <c r="BP32" s="134"/>
      <c r="BQ32" s="270">
        <f t="shared" si="57"/>
        <v>10</v>
      </c>
      <c r="BR32" s="447"/>
      <c r="BS32" s="449">
        <v>0.57152777777777775</v>
      </c>
      <c r="BT32" s="132">
        <f t="shared" si="40"/>
        <v>0</v>
      </c>
      <c r="BU32" s="128">
        <f t="shared" si="41"/>
        <v>1936</v>
      </c>
      <c r="BV32" s="103">
        <f t="shared" si="42"/>
        <v>0.59393518518518518</v>
      </c>
      <c r="BW32" s="135">
        <v>0.57755787037037043</v>
      </c>
      <c r="BX32" s="133">
        <f t="shared" si="43"/>
        <v>-1415</v>
      </c>
      <c r="BY32" s="134"/>
      <c r="BZ32" s="270">
        <f t="shared" si="63"/>
        <v>1415</v>
      </c>
      <c r="CA32" s="278"/>
      <c r="CB32" s="130">
        <v>0.61041666666666672</v>
      </c>
      <c r="CC32" s="132">
        <f t="shared" si="45"/>
        <v>0</v>
      </c>
      <c r="CD32" s="128">
        <f t="shared" si="46"/>
        <v>1899</v>
      </c>
      <c r="CE32" s="103">
        <f t="shared" si="47"/>
        <v>0.63239583333333338</v>
      </c>
      <c r="CF32" s="135">
        <v>0.6464699074074074</v>
      </c>
      <c r="CG32" s="133">
        <f t="shared" si="48"/>
        <v>1216</v>
      </c>
      <c r="CH32" s="134"/>
      <c r="CI32" s="270">
        <f t="shared" si="59"/>
        <v>1216</v>
      </c>
      <c r="CJ32" s="278"/>
      <c r="CK32" s="263">
        <f t="shared" si="50"/>
        <v>0.68611111111111101</v>
      </c>
      <c r="CL32" s="132">
        <f t="shared" si="51"/>
        <v>0</v>
      </c>
      <c r="CM32" s="131">
        <v>60</v>
      </c>
      <c r="CN32" s="440">
        <v>114.82</v>
      </c>
      <c r="CO32" s="147">
        <f t="shared" si="52"/>
        <v>54.8</v>
      </c>
      <c r="CP32" s="134"/>
      <c r="CQ32" s="134"/>
      <c r="CR32" s="134"/>
      <c r="CS32" s="134"/>
      <c r="CT32" s="270">
        <f t="shared" si="53"/>
        <v>548</v>
      </c>
      <c r="CU32" s="125" t="s">
        <v>588</v>
      </c>
      <c r="CV32" s="126" t="s">
        <v>569</v>
      </c>
      <c r="CW32" s="283">
        <v>7</v>
      </c>
      <c r="CX32" s="282">
        <f t="shared" si="54"/>
        <v>840</v>
      </c>
      <c r="CY32" s="283">
        <v>0</v>
      </c>
      <c r="CZ32" s="282">
        <f t="shared" si="55"/>
        <v>0</v>
      </c>
    </row>
    <row r="33" spans="1:104" x14ac:dyDescent="0.25">
      <c r="A33" s="427">
        <f t="shared" si="61"/>
        <v>11</v>
      </c>
      <c r="B33" s="416">
        <v>21</v>
      </c>
      <c r="C33" s="417" t="s">
        <v>137</v>
      </c>
      <c r="D33" s="417" t="s">
        <v>498</v>
      </c>
      <c r="E33" s="417" t="s">
        <v>45</v>
      </c>
      <c r="F33" s="417" t="s">
        <v>46</v>
      </c>
      <c r="G33" s="416" t="s">
        <v>30</v>
      </c>
      <c r="H33" s="418"/>
      <c r="I33" s="450">
        <f t="shared" si="56"/>
        <v>7943</v>
      </c>
      <c r="J33" s="281"/>
      <c r="K33" s="138"/>
      <c r="L33" s="264">
        <v>0.43124999999999997</v>
      </c>
      <c r="M33" s="258">
        <f t="shared" si="1"/>
        <v>105</v>
      </c>
      <c r="N33" s="279">
        <f t="shared" si="2"/>
        <v>0</v>
      </c>
      <c r="O33" s="259">
        <f t="shared" si="3"/>
        <v>0.50416666666666665</v>
      </c>
      <c r="P33" s="263">
        <f t="shared" si="4"/>
        <v>0.50416666666666665</v>
      </c>
      <c r="Q33" s="128">
        <f t="shared" si="5"/>
        <v>0</v>
      </c>
      <c r="R33" s="266">
        <f t="shared" si="6"/>
        <v>0</v>
      </c>
      <c r="S33" s="136">
        <f t="shared" si="7"/>
        <v>140</v>
      </c>
      <c r="T33" s="280">
        <f t="shared" si="8"/>
        <v>1</v>
      </c>
      <c r="U33" s="260">
        <f t="shared" si="9"/>
        <v>0.60138888888888886</v>
      </c>
      <c r="V33" s="261">
        <v>0.62361111111111112</v>
      </c>
      <c r="W33" s="262">
        <f t="shared" si="10"/>
        <v>32</v>
      </c>
      <c r="X33" s="267">
        <f t="shared" si="11"/>
        <v>1860</v>
      </c>
      <c r="Y33" s="136">
        <f t="shared" si="12"/>
        <v>95</v>
      </c>
      <c r="Z33" s="280">
        <f t="shared" si="13"/>
        <v>0</v>
      </c>
      <c r="AA33" s="260">
        <f t="shared" si="14"/>
        <v>0.69027777777777777</v>
      </c>
      <c r="AB33" s="128">
        <f t="shared" si="15"/>
        <v>10</v>
      </c>
      <c r="AC33" s="261">
        <v>0.69930555555555562</v>
      </c>
      <c r="AD33" s="262">
        <f t="shared" si="16"/>
        <v>13</v>
      </c>
      <c r="AE33" s="266">
        <f t="shared" si="17"/>
        <v>780</v>
      </c>
      <c r="AF33" s="261" t="s">
        <v>430</v>
      </c>
      <c r="AG33" s="266">
        <f t="shared" si="18"/>
        <v>0</v>
      </c>
      <c r="AH33" s="136">
        <f t="shared" si="19"/>
        <v>0</v>
      </c>
      <c r="AI33" s="128">
        <f t="shared" si="20"/>
        <v>0</v>
      </c>
      <c r="AJ33" s="129">
        <f t="shared" si="21"/>
        <v>0.50416666666666665</v>
      </c>
      <c r="AK33" s="137">
        <v>0.51180555555555551</v>
      </c>
      <c r="AL33" s="134"/>
      <c r="AM33" s="128">
        <f t="shared" si="22"/>
        <v>11</v>
      </c>
      <c r="AN33" s="268">
        <f t="shared" si="23"/>
        <v>0</v>
      </c>
      <c r="AO33" s="278"/>
      <c r="AP33" s="103">
        <f t="shared" si="24"/>
        <v>0.43124999999999997</v>
      </c>
      <c r="AQ33" s="132">
        <f t="shared" si="25"/>
        <v>0</v>
      </c>
      <c r="AR33" s="128">
        <f t="shared" si="26"/>
        <v>2503</v>
      </c>
      <c r="AS33" s="103">
        <f t="shared" si="27"/>
        <v>0.46021990740740737</v>
      </c>
      <c r="AT33" s="135">
        <v>0.48186342592592596</v>
      </c>
      <c r="AU33" s="133">
        <f t="shared" si="28"/>
        <v>1870</v>
      </c>
      <c r="AV33" s="134"/>
      <c r="AW33" s="270">
        <f t="shared" si="62"/>
        <v>1870</v>
      </c>
      <c r="AX33" s="127"/>
      <c r="AY33" s="130">
        <v>0.5</v>
      </c>
      <c r="AZ33" s="132">
        <f t="shared" si="29"/>
        <v>0</v>
      </c>
      <c r="BA33" s="128">
        <f t="shared" si="30"/>
        <v>409</v>
      </c>
      <c r="BB33" s="128">
        <f t="shared" si="31"/>
        <v>570</v>
      </c>
      <c r="BC33" s="103">
        <f t="shared" si="32"/>
        <v>0.50659722222222225</v>
      </c>
      <c r="BD33" s="135">
        <v>0.50601851851851853</v>
      </c>
      <c r="BE33" s="133">
        <f t="shared" si="33"/>
        <v>-50</v>
      </c>
      <c r="BF33" s="134"/>
      <c r="BG33" s="270">
        <f t="shared" si="34"/>
        <v>0</v>
      </c>
      <c r="BH33" s="127">
        <v>0.5395833333333333</v>
      </c>
      <c r="BI33" s="130">
        <v>0.54027777777777775</v>
      </c>
      <c r="BJ33" s="132">
        <f t="shared" si="35"/>
        <v>1</v>
      </c>
      <c r="BK33" s="128">
        <f t="shared" si="36"/>
        <v>455</v>
      </c>
      <c r="BL33" s="128">
        <f t="shared" si="37"/>
        <v>670</v>
      </c>
      <c r="BM33" s="103">
        <f t="shared" si="38"/>
        <v>0.54803240740740733</v>
      </c>
      <c r="BN33" s="135">
        <v>0.5481597222222222</v>
      </c>
      <c r="BO33" s="133">
        <f t="shared" si="39"/>
        <v>11</v>
      </c>
      <c r="BP33" s="134"/>
      <c r="BQ33" s="270">
        <f t="shared" si="57"/>
        <v>11</v>
      </c>
      <c r="BR33" s="127"/>
      <c r="BS33" s="130">
        <v>0.57361111111111118</v>
      </c>
      <c r="BT33" s="132">
        <f t="shared" si="40"/>
        <v>0</v>
      </c>
      <c r="BU33" s="128">
        <f t="shared" si="41"/>
        <v>1936</v>
      </c>
      <c r="BV33" s="103">
        <f t="shared" si="42"/>
        <v>0.59601851851851861</v>
      </c>
      <c r="BW33" s="135">
        <v>0.60820601851851852</v>
      </c>
      <c r="BX33" s="133">
        <f t="shared" si="43"/>
        <v>1053</v>
      </c>
      <c r="BY33" s="134"/>
      <c r="BZ33" s="270">
        <f t="shared" si="63"/>
        <v>1053</v>
      </c>
      <c r="CA33" s="278"/>
      <c r="CB33" s="130">
        <v>0.62430555555555556</v>
      </c>
      <c r="CC33" s="132">
        <f t="shared" si="45"/>
        <v>0</v>
      </c>
      <c r="CD33" s="128">
        <f t="shared" si="46"/>
        <v>1899</v>
      </c>
      <c r="CE33" s="103">
        <f t="shared" si="47"/>
        <v>0.64628472222222222</v>
      </c>
      <c r="CF33" s="135">
        <v>0.65136574074074072</v>
      </c>
      <c r="CG33" s="133">
        <f t="shared" si="48"/>
        <v>439</v>
      </c>
      <c r="CH33" s="134"/>
      <c r="CI33" s="270">
        <f t="shared" si="59"/>
        <v>439</v>
      </c>
      <c r="CJ33" s="278"/>
      <c r="CK33" s="263">
        <f t="shared" si="50"/>
        <v>0.69930555555555562</v>
      </c>
      <c r="CL33" s="132">
        <f t="shared" si="51"/>
        <v>0</v>
      </c>
      <c r="CM33" s="131">
        <v>60</v>
      </c>
      <c r="CN33" s="440">
        <v>169.04</v>
      </c>
      <c r="CO33" s="147">
        <f t="shared" si="52"/>
        <v>109</v>
      </c>
      <c r="CP33" s="134"/>
      <c r="CQ33" s="134"/>
      <c r="CR33" s="134"/>
      <c r="CS33" s="134"/>
      <c r="CT33" s="270">
        <f t="shared" si="53"/>
        <v>1090</v>
      </c>
      <c r="CU33" s="125" t="s">
        <v>597</v>
      </c>
      <c r="CV33" s="126" t="s">
        <v>569</v>
      </c>
      <c r="CW33" s="283">
        <v>7</v>
      </c>
      <c r="CX33" s="282">
        <f t="shared" si="54"/>
        <v>840</v>
      </c>
      <c r="CY33" s="283">
        <v>0</v>
      </c>
      <c r="CZ33" s="282">
        <f t="shared" si="55"/>
        <v>0</v>
      </c>
    </row>
    <row r="34" spans="1:104" x14ac:dyDescent="0.25">
      <c r="A34" s="427">
        <f t="shared" si="61"/>
        <v>12</v>
      </c>
      <c r="B34" s="416">
        <v>20</v>
      </c>
      <c r="C34" s="417" t="s">
        <v>138</v>
      </c>
      <c r="D34" s="417" t="s">
        <v>496</v>
      </c>
      <c r="E34" s="417" t="s">
        <v>44</v>
      </c>
      <c r="F34" s="417" t="s">
        <v>139</v>
      </c>
      <c r="G34" s="416" t="s">
        <v>30</v>
      </c>
      <c r="H34" s="418"/>
      <c r="I34" s="450">
        <f t="shared" si="56"/>
        <v>8802.9</v>
      </c>
      <c r="J34" s="281"/>
      <c r="K34" s="138"/>
      <c r="L34" s="264">
        <v>0.43055555555555558</v>
      </c>
      <c r="M34" s="258">
        <f t="shared" si="1"/>
        <v>105</v>
      </c>
      <c r="N34" s="279">
        <f t="shared" si="2"/>
        <v>0</v>
      </c>
      <c r="O34" s="259">
        <f t="shared" si="3"/>
        <v>0.50347222222222221</v>
      </c>
      <c r="P34" s="263">
        <f t="shared" si="4"/>
        <v>0.50347222222222221</v>
      </c>
      <c r="Q34" s="128">
        <f t="shared" si="5"/>
        <v>0</v>
      </c>
      <c r="R34" s="266">
        <f t="shared" si="6"/>
        <v>0</v>
      </c>
      <c r="S34" s="136">
        <f t="shared" si="7"/>
        <v>140</v>
      </c>
      <c r="T34" s="280">
        <f t="shared" si="8"/>
        <v>1</v>
      </c>
      <c r="U34" s="260">
        <f t="shared" si="9"/>
        <v>0.60069444444444442</v>
      </c>
      <c r="V34" s="261">
        <v>0.64513888888888882</v>
      </c>
      <c r="W34" s="262">
        <f t="shared" si="10"/>
        <v>64</v>
      </c>
      <c r="X34" s="267">
        <f t="shared" si="11"/>
        <v>3780</v>
      </c>
      <c r="Y34" s="136">
        <f t="shared" si="12"/>
        <v>95</v>
      </c>
      <c r="Z34" s="280">
        <f t="shared" si="13"/>
        <v>0</v>
      </c>
      <c r="AA34" s="260">
        <f t="shared" si="14"/>
        <v>0.71180555555555558</v>
      </c>
      <c r="AB34" s="128">
        <f t="shared" si="15"/>
        <v>10</v>
      </c>
      <c r="AC34" s="261">
        <v>0.71944444444444444</v>
      </c>
      <c r="AD34" s="262">
        <f t="shared" si="16"/>
        <v>11</v>
      </c>
      <c r="AE34" s="266">
        <f t="shared" si="17"/>
        <v>660</v>
      </c>
      <c r="AF34" s="261"/>
      <c r="AG34" s="266">
        <f t="shared" si="18"/>
        <v>300</v>
      </c>
      <c r="AH34" s="136">
        <f t="shared" si="19"/>
        <v>0</v>
      </c>
      <c r="AI34" s="128">
        <f t="shared" si="20"/>
        <v>0</v>
      </c>
      <c r="AJ34" s="129">
        <f t="shared" si="21"/>
        <v>0.50347222222222221</v>
      </c>
      <c r="AK34" s="137">
        <v>0.52500000000000002</v>
      </c>
      <c r="AL34" s="134"/>
      <c r="AM34" s="128">
        <f t="shared" si="22"/>
        <v>31</v>
      </c>
      <c r="AN34" s="268">
        <f t="shared" si="23"/>
        <v>0</v>
      </c>
      <c r="AO34" s="278"/>
      <c r="AP34" s="103">
        <f t="shared" si="24"/>
        <v>0.43055555555555558</v>
      </c>
      <c r="AQ34" s="132">
        <f t="shared" si="25"/>
        <v>0</v>
      </c>
      <c r="AR34" s="128">
        <f t="shared" si="26"/>
        <v>2503</v>
      </c>
      <c r="AS34" s="103">
        <f t="shared" si="27"/>
        <v>0.45952546296296298</v>
      </c>
      <c r="AT34" s="135"/>
      <c r="AU34" s="133">
        <f t="shared" si="28"/>
        <v>-39703</v>
      </c>
      <c r="AV34" s="134"/>
      <c r="AW34" s="441">
        <f>$AW$14*1.1</f>
        <v>735.90000000000009</v>
      </c>
      <c r="AX34" s="127"/>
      <c r="AY34" s="130">
        <v>0.5131944444444444</v>
      </c>
      <c r="AZ34" s="132">
        <f t="shared" si="29"/>
        <v>0</v>
      </c>
      <c r="BA34" s="128">
        <f t="shared" si="30"/>
        <v>409</v>
      </c>
      <c r="BB34" s="128">
        <f t="shared" si="31"/>
        <v>570</v>
      </c>
      <c r="BC34" s="103">
        <f t="shared" si="32"/>
        <v>0.51979166666666665</v>
      </c>
      <c r="BD34" s="135">
        <v>0.51967592592592593</v>
      </c>
      <c r="BE34" s="133">
        <f t="shared" si="33"/>
        <v>-10</v>
      </c>
      <c r="BF34" s="134"/>
      <c r="BG34" s="270">
        <f t="shared" si="34"/>
        <v>0</v>
      </c>
      <c r="BH34" s="444">
        <v>0.56319444444444444</v>
      </c>
      <c r="BI34" s="445">
        <v>0.56388888888888888</v>
      </c>
      <c r="BJ34" s="132">
        <f t="shared" si="35"/>
        <v>1</v>
      </c>
      <c r="BK34" s="128">
        <f t="shared" si="36"/>
        <v>455</v>
      </c>
      <c r="BL34" s="128">
        <f t="shared" si="37"/>
        <v>670</v>
      </c>
      <c r="BM34" s="103">
        <f t="shared" si="38"/>
        <v>0.57164351851851847</v>
      </c>
      <c r="BN34" s="135">
        <v>0.57118055555555558</v>
      </c>
      <c r="BO34" s="133">
        <f t="shared" si="39"/>
        <v>-40</v>
      </c>
      <c r="BP34" s="134"/>
      <c r="BQ34" s="270">
        <f t="shared" si="57"/>
        <v>0</v>
      </c>
      <c r="BR34" s="127"/>
      <c r="BS34" s="130">
        <v>0.59513888888888888</v>
      </c>
      <c r="BT34" s="132">
        <f t="shared" si="40"/>
        <v>0</v>
      </c>
      <c r="BU34" s="128">
        <f t="shared" si="41"/>
        <v>1936</v>
      </c>
      <c r="BV34" s="103">
        <f t="shared" si="42"/>
        <v>0.61754629629629632</v>
      </c>
      <c r="BW34" s="135">
        <v>0.6287962962962963</v>
      </c>
      <c r="BX34" s="133">
        <f t="shared" si="43"/>
        <v>972</v>
      </c>
      <c r="BY34" s="134"/>
      <c r="BZ34" s="270">
        <f t="shared" si="63"/>
        <v>972</v>
      </c>
      <c r="CA34" s="278"/>
      <c r="CB34" s="130">
        <v>0.64583333333333337</v>
      </c>
      <c r="CC34" s="132">
        <f t="shared" si="45"/>
        <v>0</v>
      </c>
      <c r="CD34" s="128">
        <f t="shared" si="46"/>
        <v>1899</v>
      </c>
      <c r="CE34" s="103">
        <f t="shared" si="47"/>
        <v>0.66781250000000003</v>
      </c>
      <c r="CF34" s="135">
        <v>0.67887731481481473</v>
      </c>
      <c r="CG34" s="133">
        <f t="shared" si="48"/>
        <v>956</v>
      </c>
      <c r="CH34" s="134"/>
      <c r="CI34" s="270">
        <f t="shared" si="59"/>
        <v>956</v>
      </c>
      <c r="CJ34" s="278"/>
      <c r="CK34" s="263">
        <f t="shared" si="50"/>
        <v>0.71944444444444444</v>
      </c>
      <c r="CL34" s="132">
        <f t="shared" si="51"/>
        <v>0</v>
      </c>
      <c r="CM34" s="131">
        <v>60</v>
      </c>
      <c r="CN34" s="440">
        <v>127.87</v>
      </c>
      <c r="CO34" s="147">
        <f t="shared" si="52"/>
        <v>67.900000000000006</v>
      </c>
      <c r="CP34" s="134"/>
      <c r="CQ34" s="134"/>
      <c r="CR34" s="134"/>
      <c r="CS34" s="134"/>
      <c r="CT34" s="270">
        <f t="shared" si="53"/>
        <v>679</v>
      </c>
      <c r="CU34" s="125" t="s">
        <v>567</v>
      </c>
      <c r="CV34" s="126" t="s">
        <v>569</v>
      </c>
      <c r="CW34" s="283">
        <v>6</v>
      </c>
      <c r="CX34" s="282">
        <f t="shared" si="54"/>
        <v>720</v>
      </c>
      <c r="CY34" s="283">
        <v>0</v>
      </c>
      <c r="CZ34" s="282">
        <f t="shared" si="55"/>
        <v>0</v>
      </c>
    </row>
    <row r="35" spans="1:104" x14ac:dyDescent="0.25">
      <c r="V35" s="15">
        <f>COUNTA(V6:V34)</f>
        <v>28</v>
      </c>
      <c r="AC35" s="15">
        <f>COUNTA(AC6:AC34)</f>
        <v>29</v>
      </c>
      <c r="AF35" s="15">
        <f>COUNTA(AF6:AF34)</f>
        <v>24</v>
      </c>
      <c r="AK35" s="15">
        <f>COUNTA(AK6:AK34)</f>
        <v>29</v>
      </c>
      <c r="AT35" s="15">
        <f>COUNTA(AT6:AT34)</f>
        <v>23</v>
      </c>
      <c r="AY35" s="15">
        <f>COUNTA(AY6:AY34)</f>
        <v>29</v>
      </c>
      <c r="BD35" s="15">
        <f>COUNTA(BD6:BD34)</f>
        <v>29</v>
      </c>
      <c r="BH35" s="15">
        <f>COUNTA(BH6:BH34)</f>
        <v>26</v>
      </c>
      <c r="BI35" s="15">
        <f>COUNTA(BI6:BI34)</f>
        <v>28</v>
      </c>
      <c r="BN35" s="15">
        <f>COUNTA(BN6:BN34)</f>
        <v>29</v>
      </c>
      <c r="BS35" s="15">
        <f>COUNTA(BS6:BS34)</f>
        <v>29</v>
      </c>
      <c r="BW35" s="15">
        <f>COUNTA(BW6:BW34)</f>
        <v>29</v>
      </c>
      <c r="CB35" s="15">
        <f>COUNTA(CB6:CB34)</f>
        <v>28</v>
      </c>
      <c r="CF35" s="15">
        <f>COUNTA(CF6:CF34)</f>
        <v>29</v>
      </c>
      <c r="CN35" s="15">
        <f>COUNTA(CN6:CN34)</f>
        <v>29</v>
      </c>
      <c r="CU35" s="15">
        <f>COUNTA(CU6:CU34)</f>
        <v>29</v>
      </c>
      <c r="CY35" s="15">
        <f>COUNTA(CY6:CY34)</f>
        <v>29</v>
      </c>
    </row>
  </sheetData>
  <sortState ref="A7:CZ35">
    <sortCondition ref="G7:G35"/>
    <sortCondition ref="I7:I35"/>
  </sortState>
  <mergeCells count="20">
    <mergeCell ref="C1:G1"/>
    <mergeCell ref="C2:G2"/>
    <mergeCell ref="AH4:AN4"/>
    <mergeCell ref="M4:N4"/>
    <mergeCell ref="BH4:BQ4"/>
    <mergeCell ref="J4:K4"/>
    <mergeCell ref="AX4:BG4"/>
    <mergeCell ref="AO4:AW4"/>
    <mergeCell ref="AA4:AE4"/>
    <mergeCell ref="O4:R4"/>
    <mergeCell ref="U4:X4"/>
    <mergeCell ref="S4:T4"/>
    <mergeCell ref="CY4:CZ4"/>
    <mergeCell ref="C4:I4"/>
    <mergeCell ref="AF4:AG4"/>
    <mergeCell ref="Y4:Z4"/>
    <mergeCell ref="CJ4:CT4"/>
    <mergeCell ref="BR4:BZ4"/>
    <mergeCell ref="CA4:CI4"/>
    <mergeCell ref="CU4:CX4"/>
  </mergeCells>
  <pageMargins left="0.39370078740157483" right="0.39370078740157483" top="0.39370078740157483" bottom="0.39370078740157483" header="0" footer="0"/>
  <pageSetup paperSize="9" scale="87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H21"/>
  <sheetViews>
    <sheetView zoomScaleNormal="100" workbookViewId="0"/>
  </sheetViews>
  <sheetFormatPr defaultRowHeight="15" customHeight="1" x14ac:dyDescent="0.25"/>
  <cols>
    <col min="1" max="1" width="40.7109375" style="233" customWidth="1"/>
    <col min="2" max="8" width="9.7109375" style="233" customWidth="1"/>
    <col min="9" max="16384" width="9.140625" style="233"/>
  </cols>
  <sheetData>
    <row r="1" spans="1:8" ht="21" x14ac:dyDescent="0.25">
      <c r="B1" s="703" t="str">
        <f>НазваниеПолное</f>
        <v>Ралли "Западные ворота - 2017"</v>
      </c>
      <c r="C1" s="703"/>
      <c r="D1" s="703"/>
      <c r="E1" s="703"/>
      <c r="F1" s="703"/>
      <c r="G1" s="703"/>
      <c r="H1" s="703"/>
    </row>
    <row r="2" spans="1:8" ht="21" x14ac:dyDescent="0.25">
      <c r="B2" s="703" t="str">
        <f>"Расчет "&amp;ДС1</f>
        <v>Расчет ДС-1 РД</v>
      </c>
      <c r="C2" s="703"/>
      <c r="D2" s="703"/>
      <c r="E2" s="703"/>
      <c r="F2" s="703"/>
      <c r="G2" s="703"/>
      <c r="H2" s="703"/>
    </row>
    <row r="3" spans="1:8" ht="5.0999999999999996" customHeight="1" x14ac:dyDescent="0.25"/>
    <row r="4" spans="1:8" ht="60" x14ac:dyDescent="0.25">
      <c r="A4" s="150" t="s">
        <v>331</v>
      </c>
      <c r="B4" s="151" t="s">
        <v>332</v>
      </c>
      <c r="C4" s="151" t="s">
        <v>333</v>
      </c>
      <c r="D4" s="151" t="s">
        <v>334</v>
      </c>
      <c r="E4" s="151" t="s">
        <v>335</v>
      </c>
      <c r="F4" s="151" t="s">
        <v>193</v>
      </c>
      <c r="G4" s="151" t="s">
        <v>336</v>
      </c>
      <c r="H4" s="152" t="s">
        <v>337</v>
      </c>
    </row>
    <row r="5" spans="1:8" ht="30" customHeight="1" x14ac:dyDescent="0.25">
      <c r="A5" s="348" t="s">
        <v>338</v>
      </c>
      <c r="B5" s="386">
        <v>0</v>
      </c>
      <c r="C5" s="387">
        <f>B6-B5</f>
        <v>2.39</v>
      </c>
      <c r="D5" s="387">
        <v>30</v>
      </c>
      <c r="E5" s="387"/>
      <c r="F5" s="387"/>
      <c r="G5" s="387">
        <f>D5*IF(ISNUMBER(E5),E5,1)+IF(ISNUMBER(F5),F5,0)</f>
        <v>30</v>
      </c>
      <c r="H5" s="388">
        <f>ROUNDDOWN(C5/G5*3600,0)</f>
        <v>286</v>
      </c>
    </row>
    <row r="6" spans="1:8" ht="30" customHeight="1" x14ac:dyDescent="0.25">
      <c r="A6" s="349" t="s">
        <v>339</v>
      </c>
      <c r="B6" s="407">
        <f>'КВ0-КВ1 Про'!B9</f>
        <v>2.39</v>
      </c>
      <c r="C6" s="387">
        <f t="shared" ref="C6:C13" si="0">B7-B6</f>
        <v>5.9399999999999995</v>
      </c>
      <c r="D6" s="390">
        <v>50</v>
      </c>
      <c r="E6" s="390"/>
      <c r="F6" s="390"/>
      <c r="G6" s="390">
        <f t="shared" ref="G6:G13" si="1">D6*IF(ISNUMBER(E6),E6,1)+IF(ISNUMBER(F6),F6,0)</f>
        <v>50</v>
      </c>
      <c r="H6" s="388">
        <f t="shared" ref="H6:H13" si="2">ROUNDDOWN(C6/G6*3600,0)</f>
        <v>427</v>
      </c>
    </row>
    <row r="7" spans="1:8" ht="30" customHeight="1" x14ac:dyDescent="0.25">
      <c r="A7" s="349" t="s">
        <v>340</v>
      </c>
      <c r="B7" s="407">
        <f>'КВ0-КВ1 Про'!B10</f>
        <v>8.33</v>
      </c>
      <c r="C7" s="387">
        <f t="shared" si="0"/>
        <v>17.740000000000002</v>
      </c>
      <c r="D7" s="390">
        <v>90</v>
      </c>
      <c r="E7" s="390"/>
      <c r="F7" s="390">
        <v>-15</v>
      </c>
      <c r="G7" s="390">
        <f t="shared" si="1"/>
        <v>75</v>
      </c>
      <c r="H7" s="388">
        <f t="shared" si="2"/>
        <v>851</v>
      </c>
    </row>
    <row r="8" spans="1:8" ht="30" customHeight="1" x14ac:dyDescent="0.25">
      <c r="A8" s="349" t="s">
        <v>341</v>
      </c>
      <c r="B8" s="407">
        <f>'КВ0-КВ1 Про'!B16</f>
        <v>26.07</v>
      </c>
      <c r="C8" s="387">
        <f t="shared" si="0"/>
        <v>2.3599999999999994</v>
      </c>
      <c r="D8" s="390">
        <v>20</v>
      </c>
      <c r="E8" s="390"/>
      <c r="F8" s="390"/>
      <c r="G8" s="390">
        <f t="shared" si="1"/>
        <v>20</v>
      </c>
      <c r="H8" s="388">
        <f t="shared" si="2"/>
        <v>424</v>
      </c>
    </row>
    <row r="9" spans="1:8" ht="30" customHeight="1" x14ac:dyDescent="0.25">
      <c r="A9" s="349" t="s">
        <v>342</v>
      </c>
      <c r="B9" s="407">
        <f>'КВ0-КВ1 Про'!B17</f>
        <v>28.43</v>
      </c>
      <c r="C9" s="387">
        <f t="shared" si="0"/>
        <v>5.0200000000000031</v>
      </c>
      <c r="D9" s="390">
        <v>90</v>
      </c>
      <c r="E9" s="390"/>
      <c r="F9" s="390">
        <v>-15</v>
      </c>
      <c r="G9" s="390">
        <f t="shared" si="1"/>
        <v>75</v>
      </c>
      <c r="H9" s="388">
        <f t="shared" si="2"/>
        <v>240</v>
      </c>
    </row>
    <row r="10" spans="1:8" ht="30" customHeight="1" x14ac:dyDescent="0.25">
      <c r="A10" s="349" t="s">
        <v>343</v>
      </c>
      <c r="B10" s="389">
        <v>33.450000000000003</v>
      </c>
      <c r="C10" s="387">
        <f t="shared" si="0"/>
        <v>0.98999999999999488</v>
      </c>
      <c r="D10" s="390">
        <v>60</v>
      </c>
      <c r="E10" s="390"/>
      <c r="F10" s="390">
        <v>-15</v>
      </c>
      <c r="G10" s="390">
        <f t="shared" si="1"/>
        <v>45</v>
      </c>
      <c r="H10" s="388">
        <f t="shared" si="2"/>
        <v>79</v>
      </c>
    </row>
    <row r="11" spans="1:8" ht="30" customHeight="1" x14ac:dyDescent="0.25">
      <c r="A11" s="350" t="s">
        <v>343</v>
      </c>
      <c r="B11" s="389">
        <v>34.44</v>
      </c>
      <c r="C11" s="387">
        <f t="shared" si="0"/>
        <v>0.37000000000000455</v>
      </c>
      <c r="D11" s="390">
        <v>90</v>
      </c>
      <c r="E11" s="390"/>
      <c r="F11" s="390">
        <v>-15</v>
      </c>
      <c r="G11" s="390">
        <f t="shared" si="1"/>
        <v>75</v>
      </c>
      <c r="H11" s="388">
        <f t="shared" si="2"/>
        <v>17</v>
      </c>
    </row>
    <row r="12" spans="1:8" ht="30" customHeight="1" x14ac:dyDescent="0.25">
      <c r="A12" s="349" t="s">
        <v>344</v>
      </c>
      <c r="B12" s="389">
        <v>34.81</v>
      </c>
      <c r="C12" s="387">
        <f t="shared" si="0"/>
        <v>0.73999999999999488</v>
      </c>
      <c r="D12" s="390">
        <v>60</v>
      </c>
      <c r="E12" s="390"/>
      <c r="F12" s="390">
        <v>-15</v>
      </c>
      <c r="G12" s="390">
        <f t="shared" si="1"/>
        <v>45</v>
      </c>
      <c r="H12" s="388">
        <f t="shared" si="2"/>
        <v>59</v>
      </c>
    </row>
    <row r="13" spans="1:8" ht="30" customHeight="1" x14ac:dyDescent="0.25">
      <c r="A13" s="350" t="s">
        <v>344</v>
      </c>
      <c r="B13" s="389">
        <v>35.549999999999997</v>
      </c>
      <c r="C13" s="387">
        <f t="shared" si="0"/>
        <v>2.5200000000000031</v>
      </c>
      <c r="D13" s="390">
        <v>90</v>
      </c>
      <c r="E13" s="390"/>
      <c r="F13" s="390">
        <v>-15</v>
      </c>
      <c r="G13" s="390">
        <f t="shared" si="1"/>
        <v>75</v>
      </c>
      <c r="H13" s="388">
        <f t="shared" si="2"/>
        <v>120</v>
      </c>
    </row>
    <row r="14" spans="1:8" ht="15" customHeight="1" x14ac:dyDescent="0.25">
      <c r="A14" s="351" t="s">
        <v>345</v>
      </c>
      <c r="B14" s="392">
        <v>38.07</v>
      </c>
      <c r="C14" s="394"/>
      <c r="D14" s="394"/>
      <c r="E14" s="394"/>
      <c r="F14" s="394"/>
      <c r="G14" s="394"/>
      <c r="H14" s="396"/>
    </row>
    <row r="15" spans="1:8" ht="15" customHeight="1" x14ac:dyDescent="0.25">
      <c r="A15" s="382" t="s">
        <v>346</v>
      </c>
      <c r="B15" s="383"/>
      <c r="C15" s="285"/>
      <c r="D15" s="285"/>
      <c r="E15" s="285"/>
      <c r="F15" s="285"/>
      <c r="G15" s="384" t="s">
        <v>347</v>
      </c>
      <c r="H15" s="385">
        <f>SUM(H5:H14)</f>
        <v>2503</v>
      </c>
    </row>
    <row r="16" spans="1:8" ht="15" customHeight="1" x14ac:dyDescent="0.25">
      <c r="G16" s="384" t="s">
        <v>348</v>
      </c>
      <c r="H16" s="385" t="str">
        <f>ROUNDDOWN(H15/60,0)&amp;"'"&amp;H15-ROUNDDOWN(H15/60,0)*60&amp;CHAR(34)</f>
        <v>41'43"</v>
      </c>
    </row>
    <row r="21" spans="7:8" ht="15" customHeight="1" x14ac:dyDescent="0.25">
      <c r="G21" s="235"/>
      <c r="H21" s="236"/>
    </row>
  </sheetData>
  <mergeCells count="2">
    <mergeCell ref="B1:H1"/>
    <mergeCell ref="B2:H2"/>
  </mergeCells>
  <pageMargins left="0.78740157480314965" right="0.39370078740157483" top="0.78740157480314965" bottom="0.78740157480314965" header="0" footer="0"/>
  <pageSetup orientation="landscape" horizontalDpi="200" verticalDpi="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H22"/>
  <sheetViews>
    <sheetView workbookViewId="0">
      <selection activeCell="C6" sqref="C6"/>
    </sheetView>
  </sheetViews>
  <sheetFormatPr defaultRowHeight="15" x14ac:dyDescent="0.25"/>
  <cols>
    <col min="1" max="1" width="40.7109375" style="233" customWidth="1"/>
    <col min="2" max="8" width="9.7109375" style="233" customWidth="1"/>
    <col min="9" max="16384" width="9.140625" style="233"/>
  </cols>
  <sheetData>
    <row r="1" spans="1:8" ht="21" x14ac:dyDescent="0.25">
      <c r="B1" s="703" t="str">
        <f>НазваниеПолное</f>
        <v>Ралли "Западные ворота - 2017"</v>
      </c>
      <c r="C1" s="703"/>
      <c r="D1" s="703"/>
      <c r="E1" s="703"/>
      <c r="F1" s="703"/>
      <c r="G1" s="703"/>
      <c r="H1" s="703"/>
    </row>
    <row r="2" spans="1:8" ht="21" x14ac:dyDescent="0.25">
      <c r="B2" s="703" t="str">
        <f>"Расчет "&amp;ДС4</f>
        <v>Расчет ДС-4 РД</v>
      </c>
      <c r="C2" s="703"/>
      <c r="D2" s="703"/>
      <c r="E2" s="703"/>
      <c r="F2" s="703"/>
      <c r="G2" s="703"/>
      <c r="H2" s="703"/>
    </row>
    <row r="3" spans="1:8" ht="5.0999999999999996" customHeight="1" x14ac:dyDescent="0.25"/>
    <row r="4" spans="1:8" ht="60" x14ac:dyDescent="0.25">
      <c r="A4" s="150" t="s">
        <v>331</v>
      </c>
      <c r="B4" s="151" t="s">
        <v>332</v>
      </c>
      <c r="C4" s="151" t="s">
        <v>333</v>
      </c>
      <c r="D4" s="151" t="s">
        <v>334</v>
      </c>
      <c r="E4" s="151" t="s">
        <v>335</v>
      </c>
      <c r="F4" s="151" t="s">
        <v>193</v>
      </c>
      <c r="G4" s="151" t="s">
        <v>336</v>
      </c>
      <c r="H4" s="152" t="s">
        <v>337</v>
      </c>
    </row>
    <row r="5" spans="1:8" ht="30" customHeight="1" x14ac:dyDescent="0.25">
      <c r="A5" s="348" t="s">
        <v>381</v>
      </c>
      <c r="B5" s="408">
        <f>'КВ1-КВ2 Про'!B23</f>
        <v>89.23</v>
      </c>
      <c r="C5" s="387">
        <f t="shared" ref="C5:C9" si="0">B6-B5</f>
        <v>2.4899999999999949</v>
      </c>
      <c r="D5" s="387">
        <v>25</v>
      </c>
      <c r="E5" s="387"/>
      <c r="F5" s="387"/>
      <c r="G5" s="387">
        <f>D5*IF(ISNUMBER(E5),E5,1)+IF(ISNUMBER(F5),F5,0)</f>
        <v>25</v>
      </c>
      <c r="H5" s="388">
        <f>ROUNDDOWN(C5/G5*3600,0)</f>
        <v>358</v>
      </c>
    </row>
    <row r="6" spans="1:8" ht="30" customHeight="1" x14ac:dyDescent="0.25">
      <c r="A6" s="349" t="s">
        <v>349</v>
      </c>
      <c r="B6" s="389">
        <v>91.72</v>
      </c>
      <c r="C6" s="387">
        <f t="shared" si="0"/>
        <v>9.9999999999994316E-2</v>
      </c>
      <c r="D6" s="390">
        <v>20</v>
      </c>
      <c r="E6" s="390"/>
      <c r="F6" s="390"/>
      <c r="G6" s="390">
        <f t="shared" ref="G6:G7" si="1">D6*IF(ISNUMBER(E6),E6,1)+IF(ISNUMBER(F6),F6,0)</f>
        <v>20</v>
      </c>
      <c r="H6" s="388">
        <f t="shared" ref="H6:H9" si="2">ROUNDDOWN(C6/G6*3600,0)</f>
        <v>17</v>
      </c>
    </row>
    <row r="7" spans="1:8" ht="30" customHeight="1" x14ac:dyDescent="0.25">
      <c r="A7" s="349" t="s">
        <v>350</v>
      </c>
      <c r="B7" s="389">
        <v>91.82</v>
      </c>
      <c r="C7" s="387">
        <f t="shared" si="0"/>
        <v>3.8400000000000034</v>
      </c>
      <c r="D7" s="390">
        <v>25</v>
      </c>
      <c r="E7" s="390"/>
      <c r="F7" s="390"/>
      <c r="G7" s="390">
        <f t="shared" si="1"/>
        <v>25</v>
      </c>
      <c r="H7" s="388">
        <f t="shared" si="2"/>
        <v>552</v>
      </c>
    </row>
    <row r="8" spans="1:8" ht="30" customHeight="1" x14ac:dyDescent="0.25">
      <c r="A8" s="349" t="s">
        <v>349</v>
      </c>
      <c r="B8" s="389">
        <v>95.66</v>
      </c>
      <c r="C8" s="387">
        <f t="shared" si="0"/>
        <v>0.10999999999999943</v>
      </c>
      <c r="D8" s="390">
        <v>20</v>
      </c>
      <c r="E8" s="390"/>
      <c r="F8" s="390"/>
      <c r="G8" s="390">
        <f t="shared" ref="G8:G9" si="3">D8*IF(ISNUMBER(E8),E8,1)+IF(ISNUMBER(F8),F8,0)</f>
        <v>20</v>
      </c>
      <c r="H8" s="388">
        <f t="shared" si="2"/>
        <v>19</v>
      </c>
    </row>
    <row r="9" spans="1:8" ht="30" customHeight="1" x14ac:dyDescent="0.25">
      <c r="A9" s="349" t="s">
        <v>350</v>
      </c>
      <c r="B9" s="389">
        <v>95.77</v>
      </c>
      <c r="C9" s="387">
        <f t="shared" si="0"/>
        <v>6.8800000000000097</v>
      </c>
      <c r="D9" s="390">
        <v>25</v>
      </c>
      <c r="E9" s="390"/>
      <c r="F9" s="390"/>
      <c r="G9" s="390">
        <f t="shared" si="3"/>
        <v>25</v>
      </c>
      <c r="H9" s="388">
        <f t="shared" si="2"/>
        <v>990</v>
      </c>
    </row>
    <row r="10" spans="1:8" ht="15" customHeight="1" x14ac:dyDescent="0.25">
      <c r="A10" s="351" t="s">
        <v>345</v>
      </c>
      <c r="B10" s="409">
        <f>'КВ1-КВ2 Про'!B40</f>
        <v>102.65</v>
      </c>
      <c r="C10" s="394"/>
      <c r="D10" s="394"/>
      <c r="E10" s="394"/>
      <c r="F10" s="394"/>
      <c r="G10" s="394"/>
      <c r="H10" s="396"/>
    </row>
    <row r="11" spans="1:8" ht="15" customHeight="1" x14ac:dyDescent="0.25">
      <c r="A11" s="382" t="s">
        <v>346</v>
      </c>
      <c r="B11" s="383"/>
      <c r="C11" s="285"/>
      <c r="D11" s="285"/>
      <c r="E11" s="285"/>
      <c r="F11" s="285"/>
      <c r="G11" s="384" t="s">
        <v>347</v>
      </c>
      <c r="H11" s="385">
        <f>SUM(H5:H10)</f>
        <v>1936</v>
      </c>
    </row>
    <row r="12" spans="1:8" ht="15" customHeight="1" x14ac:dyDescent="0.25">
      <c r="G12" s="384" t="s">
        <v>348</v>
      </c>
      <c r="H12" s="385" t="str">
        <f>ROUNDDOWN(H11/60,0)&amp;"'"&amp;H11-ROUNDDOWN(H11/60,0)*60&amp;CHAR(34)</f>
        <v>32'16"</v>
      </c>
    </row>
    <row r="13" spans="1:8" ht="15" customHeight="1" x14ac:dyDescent="0.25"/>
    <row r="14" spans="1:8" ht="15" customHeight="1" x14ac:dyDescent="0.25"/>
    <row r="15" spans="1:8" ht="15" customHeight="1" x14ac:dyDescent="0.25"/>
    <row r="16" spans="1:8" ht="15" customHeight="1" x14ac:dyDescent="0.25"/>
    <row r="17" spans="7:8" ht="15" customHeight="1" x14ac:dyDescent="0.25">
      <c r="G17" s="235"/>
      <c r="H17" s="236"/>
    </row>
    <row r="18" spans="7:8" ht="15" customHeight="1" x14ac:dyDescent="0.25"/>
    <row r="19" spans="7:8" ht="15" customHeight="1" x14ac:dyDescent="0.25"/>
    <row r="20" spans="7:8" ht="15" customHeight="1" x14ac:dyDescent="0.25"/>
    <row r="21" spans="7:8" ht="15" customHeight="1" x14ac:dyDescent="0.25"/>
    <row r="22" spans="7:8" ht="15" customHeight="1" x14ac:dyDescent="0.25"/>
  </sheetData>
  <mergeCells count="2">
    <mergeCell ref="B1:H1"/>
    <mergeCell ref="B2:H2"/>
  </mergeCells>
  <pageMargins left="0.78740157480314965" right="0.39370078740157483" top="0.78740157480314965" bottom="0.78740157480314965" header="0" footer="0"/>
  <pageSetup paperSize="9" orientation="landscape" horizont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H38"/>
  <sheetViews>
    <sheetView workbookViewId="0">
      <selection activeCell="C6" sqref="C6"/>
    </sheetView>
  </sheetViews>
  <sheetFormatPr defaultRowHeight="15" x14ac:dyDescent="0.25"/>
  <cols>
    <col min="1" max="1" width="40.7109375" style="233" customWidth="1"/>
    <col min="2" max="8" width="9.7109375" style="233" customWidth="1"/>
    <col min="9" max="16384" width="9.140625" style="233"/>
  </cols>
  <sheetData>
    <row r="1" spans="1:8" ht="21" x14ac:dyDescent="0.25">
      <c r="B1" s="703" t="str">
        <f>НазваниеПолное</f>
        <v>Ралли "Западные ворота - 2017"</v>
      </c>
      <c r="C1" s="703"/>
      <c r="D1" s="703"/>
      <c r="E1" s="703"/>
      <c r="F1" s="703"/>
      <c r="G1" s="703"/>
      <c r="H1" s="703"/>
    </row>
    <row r="2" spans="1:8" ht="21" x14ac:dyDescent="0.25">
      <c r="B2" s="703" t="str">
        <f>"Расчет "&amp;ДС5</f>
        <v>Расчет ДС-5 РД</v>
      </c>
      <c r="C2" s="703"/>
      <c r="D2" s="703"/>
      <c r="E2" s="703"/>
      <c r="F2" s="703"/>
      <c r="G2" s="703"/>
      <c r="H2" s="703"/>
    </row>
    <row r="3" spans="1:8" ht="5.0999999999999996" customHeight="1" x14ac:dyDescent="0.25"/>
    <row r="4" spans="1:8" ht="60" x14ac:dyDescent="0.25">
      <c r="A4" s="150" t="s">
        <v>331</v>
      </c>
      <c r="B4" s="151" t="s">
        <v>332</v>
      </c>
      <c r="C4" s="151" t="s">
        <v>333</v>
      </c>
      <c r="D4" s="151" t="s">
        <v>334</v>
      </c>
      <c r="E4" s="151" t="s">
        <v>335</v>
      </c>
      <c r="F4" s="151" t="s">
        <v>193</v>
      </c>
      <c r="G4" s="151" t="s">
        <v>336</v>
      </c>
      <c r="H4" s="152" t="s">
        <v>337</v>
      </c>
    </row>
    <row r="5" spans="1:8" ht="30" customHeight="1" x14ac:dyDescent="0.25">
      <c r="A5" s="348" t="s">
        <v>351</v>
      </c>
      <c r="B5" s="386">
        <v>0</v>
      </c>
      <c r="C5" s="387">
        <f t="shared" ref="C5:C25" si="0">B6-B5</f>
        <v>7.25</v>
      </c>
      <c r="D5" s="387">
        <v>40</v>
      </c>
      <c r="E5" s="387"/>
      <c r="F5" s="387"/>
      <c r="G5" s="387">
        <f>D5*IF(ISNUMBER(E5),E5,1)+IF(ISNUMBER(F5),F5,0)</f>
        <v>40</v>
      </c>
      <c r="H5" s="388">
        <f>ROUNDDOWN(C5/G5*3600,0)</f>
        <v>652</v>
      </c>
    </row>
    <row r="6" spans="1:8" ht="30" customHeight="1" x14ac:dyDescent="0.25">
      <c r="A6" s="349" t="s">
        <v>349</v>
      </c>
      <c r="B6" s="389">
        <v>7.25</v>
      </c>
      <c r="C6" s="390">
        <f t="shared" si="0"/>
        <v>0.30999999999999961</v>
      </c>
      <c r="D6" s="390">
        <v>20</v>
      </c>
      <c r="E6" s="390"/>
      <c r="F6" s="390"/>
      <c r="G6" s="390">
        <f t="shared" ref="G6:G25" si="1">D6*IF(ISNUMBER(E6),E6,1)+IF(ISNUMBER(F6),F6,0)</f>
        <v>20</v>
      </c>
      <c r="H6" s="391">
        <f t="shared" ref="H6:H25" si="2">ROUNDDOWN(C6/G6*3600,0)</f>
        <v>55</v>
      </c>
    </row>
    <row r="7" spans="1:8" ht="30" customHeight="1" x14ac:dyDescent="0.25">
      <c r="A7" s="349" t="s">
        <v>350</v>
      </c>
      <c r="B7" s="389">
        <v>7.56</v>
      </c>
      <c r="C7" s="390">
        <f t="shared" si="0"/>
        <v>1.2999999999999998</v>
      </c>
      <c r="D7" s="390">
        <v>40</v>
      </c>
      <c r="E7" s="390"/>
      <c r="F7" s="390"/>
      <c r="G7" s="390">
        <f t="shared" si="1"/>
        <v>40</v>
      </c>
      <c r="H7" s="391">
        <f t="shared" si="2"/>
        <v>117</v>
      </c>
    </row>
    <row r="8" spans="1:8" ht="30" customHeight="1" x14ac:dyDescent="0.25">
      <c r="A8" s="349" t="s">
        <v>349</v>
      </c>
      <c r="B8" s="389">
        <v>8.86</v>
      </c>
      <c r="C8" s="390">
        <f t="shared" si="0"/>
        <v>0.10000000000000142</v>
      </c>
      <c r="D8" s="390">
        <v>20</v>
      </c>
      <c r="E8" s="390"/>
      <c r="F8" s="390"/>
      <c r="G8" s="390">
        <f t="shared" si="1"/>
        <v>20</v>
      </c>
      <c r="H8" s="391">
        <f t="shared" si="2"/>
        <v>18</v>
      </c>
    </row>
    <row r="9" spans="1:8" ht="30" customHeight="1" x14ac:dyDescent="0.25">
      <c r="A9" s="349" t="s">
        <v>350</v>
      </c>
      <c r="B9" s="389">
        <v>8.9600000000000009</v>
      </c>
      <c r="C9" s="390">
        <f t="shared" si="0"/>
        <v>0.48999999999999844</v>
      </c>
      <c r="D9" s="390">
        <v>40</v>
      </c>
      <c r="E9" s="390"/>
      <c r="F9" s="390"/>
      <c r="G9" s="390">
        <f t="shared" si="1"/>
        <v>40</v>
      </c>
      <c r="H9" s="391">
        <f t="shared" si="2"/>
        <v>44</v>
      </c>
    </row>
    <row r="10" spans="1:8" ht="30" customHeight="1" x14ac:dyDescent="0.25">
      <c r="A10" s="349" t="s">
        <v>349</v>
      </c>
      <c r="B10" s="389">
        <v>9.4499999999999993</v>
      </c>
      <c r="C10" s="390">
        <f t="shared" si="0"/>
        <v>3.0000000000001137E-2</v>
      </c>
      <c r="D10" s="390">
        <v>20</v>
      </c>
      <c r="E10" s="390"/>
      <c r="F10" s="390"/>
      <c r="G10" s="390">
        <f t="shared" si="1"/>
        <v>20</v>
      </c>
      <c r="H10" s="391">
        <f t="shared" si="2"/>
        <v>5</v>
      </c>
    </row>
    <row r="11" spans="1:8" ht="30" customHeight="1" x14ac:dyDescent="0.25">
      <c r="A11" s="349" t="s">
        <v>350</v>
      </c>
      <c r="B11" s="389">
        <v>9.48</v>
      </c>
      <c r="C11" s="390">
        <f t="shared" si="0"/>
        <v>0.12999999999999901</v>
      </c>
      <c r="D11" s="390">
        <v>40</v>
      </c>
      <c r="E11" s="390"/>
      <c r="F11" s="390"/>
      <c r="G11" s="390">
        <f t="shared" si="1"/>
        <v>40</v>
      </c>
      <c r="H11" s="391">
        <f t="shared" si="2"/>
        <v>11</v>
      </c>
    </row>
    <row r="12" spans="1:8" ht="30" customHeight="1" x14ac:dyDescent="0.25">
      <c r="A12" s="349" t="s">
        <v>349</v>
      </c>
      <c r="B12" s="389">
        <v>9.61</v>
      </c>
      <c r="C12" s="390">
        <f t="shared" si="0"/>
        <v>4.0000000000000924E-2</v>
      </c>
      <c r="D12" s="390">
        <v>20</v>
      </c>
      <c r="E12" s="390"/>
      <c r="F12" s="390"/>
      <c r="G12" s="390">
        <f t="shared" si="1"/>
        <v>20</v>
      </c>
      <c r="H12" s="391">
        <f t="shared" si="2"/>
        <v>7</v>
      </c>
    </row>
    <row r="13" spans="1:8" ht="30" customHeight="1" x14ac:dyDescent="0.25">
      <c r="A13" s="349" t="s">
        <v>350</v>
      </c>
      <c r="B13" s="389">
        <v>9.65</v>
      </c>
      <c r="C13" s="390">
        <f t="shared" si="0"/>
        <v>2.3499999999999996</v>
      </c>
      <c r="D13" s="390">
        <v>40</v>
      </c>
      <c r="E13" s="390"/>
      <c r="F13" s="390"/>
      <c r="G13" s="390">
        <f t="shared" si="1"/>
        <v>40</v>
      </c>
      <c r="H13" s="391">
        <f t="shared" si="2"/>
        <v>211</v>
      </c>
    </row>
    <row r="14" spans="1:8" ht="30" customHeight="1" x14ac:dyDescent="0.25">
      <c r="A14" s="349" t="s">
        <v>349</v>
      </c>
      <c r="B14" s="389">
        <v>12</v>
      </c>
      <c r="C14" s="390">
        <f t="shared" si="0"/>
        <v>9.9999999999999645E-2</v>
      </c>
      <c r="D14" s="390">
        <v>20</v>
      </c>
      <c r="E14" s="390"/>
      <c r="F14" s="390"/>
      <c r="G14" s="390">
        <f t="shared" si="1"/>
        <v>20</v>
      </c>
      <c r="H14" s="391">
        <f t="shared" si="2"/>
        <v>17</v>
      </c>
    </row>
    <row r="15" spans="1:8" ht="30" customHeight="1" x14ac:dyDescent="0.25">
      <c r="A15" s="349" t="s">
        <v>350</v>
      </c>
      <c r="B15" s="389">
        <v>12.1</v>
      </c>
      <c r="C15" s="390">
        <f t="shared" si="0"/>
        <v>1.0600000000000005</v>
      </c>
      <c r="D15" s="390">
        <v>40</v>
      </c>
      <c r="E15" s="390"/>
      <c r="F15" s="390"/>
      <c r="G15" s="390">
        <f t="shared" si="1"/>
        <v>40</v>
      </c>
      <c r="H15" s="391">
        <f t="shared" si="2"/>
        <v>95</v>
      </c>
    </row>
    <row r="16" spans="1:8" ht="30" customHeight="1" x14ac:dyDescent="0.25">
      <c r="A16" s="349" t="s">
        <v>349</v>
      </c>
      <c r="B16" s="389">
        <v>13.16</v>
      </c>
      <c r="C16" s="390">
        <f t="shared" si="0"/>
        <v>0.25</v>
      </c>
      <c r="D16" s="390">
        <v>20</v>
      </c>
      <c r="E16" s="390"/>
      <c r="F16" s="390"/>
      <c r="G16" s="390">
        <f t="shared" si="1"/>
        <v>20</v>
      </c>
      <c r="H16" s="391">
        <f t="shared" si="2"/>
        <v>45</v>
      </c>
    </row>
    <row r="17" spans="1:8" ht="30" customHeight="1" x14ac:dyDescent="0.25">
      <c r="A17" s="349" t="s">
        <v>350</v>
      </c>
      <c r="B17" s="389">
        <v>13.41</v>
      </c>
      <c r="C17" s="390">
        <f t="shared" si="0"/>
        <v>0.75</v>
      </c>
      <c r="D17" s="390">
        <v>40</v>
      </c>
      <c r="E17" s="390"/>
      <c r="F17" s="390"/>
      <c r="G17" s="390">
        <f t="shared" si="1"/>
        <v>40</v>
      </c>
      <c r="H17" s="391">
        <f t="shared" si="2"/>
        <v>67</v>
      </c>
    </row>
    <row r="18" spans="1:8" ht="30" customHeight="1" x14ac:dyDescent="0.25">
      <c r="A18" s="349" t="s">
        <v>349</v>
      </c>
      <c r="B18" s="389">
        <v>14.16</v>
      </c>
      <c r="C18" s="390">
        <f t="shared" si="0"/>
        <v>6.0000000000000497E-2</v>
      </c>
      <c r="D18" s="390">
        <v>20</v>
      </c>
      <c r="E18" s="390"/>
      <c r="F18" s="390"/>
      <c r="G18" s="390">
        <f t="shared" si="1"/>
        <v>20</v>
      </c>
      <c r="H18" s="391">
        <f t="shared" si="2"/>
        <v>10</v>
      </c>
    </row>
    <row r="19" spans="1:8" ht="30" customHeight="1" x14ac:dyDescent="0.25">
      <c r="A19" s="349" t="s">
        <v>350</v>
      </c>
      <c r="B19" s="389">
        <v>14.22</v>
      </c>
      <c r="C19" s="390">
        <f t="shared" si="0"/>
        <v>4.9999999999998934E-2</v>
      </c>
      <c r="D19" s="390">
        <v>40</v>
      </c>
      <c r="E19" s="390"/>
      <c r="F19" s="390"/>
      <c r="G19" s="390">
        <f t="shared" si="1"/>
        <v>40</v>
      </c>
      <c r="H19" s="391">
        <f t="shared" si="2"/>
        <v>4</v>
      </c>
    </row>
    <row r="20" spans="1:8" ht="30" customHeight="1" x14ac:dyDescent="0.25">
      <c r="A20" s="349" t="s">
        <v>349</v>
      </c>
      <c r="B20" s="389">
        <v>14.27</v>
      </c>
      <c r="C20" s="390">
        <f t="shared" si="0"/>
        <v>1.9999999999999574E-2</v>
      </c>
      <c r="D20" s="390">
        <v>20</v>
      </c>
      <c r="E20" s="390"/>
      <c r="F20" s="390"/>
      <c r="G20" s="390">
        <f t="shared" si="1"/>
        <v>20</v>
      </c>
      <c r="H20" s="391">
        <f t="shared" si="2"/>
        <v>3</v>
      </c>
    </row>
    <row r="21" spans="1:8" ht="30" customHeight="1" x14ac:dyDescent="0.25">
      <c r="A21" s="349" t="s">
        <v>350</v>
      </c>
      <c r="B21" s="389">
        <v>14.29</v>
      </c>
      <c r="C21" s="390">
        <f t="shared" si="0"/>
        <v>1.1300000000000008</v>
      </c>
      <c r="D21" s="390">
        <v>40</v>
      </c>
      <c r="E21" s="390"/>
      <c r="F21" s="390"/>
      <c r="G21" s="390">
        <f t="shared" si="1"/>
        <v>40</v>
      </c>
      <c r="H21" s="391">
        <f t="shared" si="2"/>
        <v>101</v>
      </c>
    </row>
    <row r="22" spans="1:8" ht="30" customHeight="1" x14ac:dyDescent="0.25">
      <c r="A22" s="349" t="s">
        <v>349</v>
      </c>
      <c r="B22" s="389">
        <v>15.42</v>
      </c>
      <c r="C22" s="390">
        <f t="shared" si="0"/>
        <v>4.0000000000000924E-2</v>
      </c>
      <c r="D22" s="390">
        <v>20</v>
      </c>
      <c r="E22" s="390"/>
      <c r="F22" s="390"/>
      <c r="G22" s="390">
        <f t="shared" si="1"/>
        <v>20</v>
      </c>
      <c r="H22" s="391">
        <f t="shared" si="2"/>
        <v>7</v>
      </c>
    </row>
    <row r="23" spans="1:8" ht="30" customHeight="1" x14ac:dyDescent="0.25">
      <c r="A23" s="349" t="s">
        <v>350</v>
      </c>
      <c r="B23" s="389">
        <v>15.46</v>
      </c>
      <c r="C23" s="390">
        <f t="shared" si="0"/>
        <v>0.10999999999999943</v>
      </c>
      <c r="D23" s="390">
        <v>40</v>
      </c>
      <c r="E23" s="390"/>
      <c r="F23" s="390"/>
      <c r="G23" s="390">
        <f t="shared" si="1"/>
        <v>40</v>
      </c>
      <c r="H23" s="391">
        <f t="shared" si="2"/>
        <v>9</v>
      </c>
    </row>
    <row r="24" spans="1:8" ht="30" customHeight="1" x14ac:dyDescent="0.25">
      <c r="A24" s="349" t="s">
        <v>349</v>
      </c>
      <c r="B24" s="389">
        <v>15.57</v>
      </c>
      <c r="C24" s="390">
        <f t="shared" si="0"/>
        <v>4.9999999999998934E-2</v>
      </c>
      <c r="D24" s="390">
        <v>20</v>
      </c>
      <c r="E24" s="390"/>
      <c r="F24" s="390"/>
      <c r="G24" s="390">
        <f t="shared" si="1"/>
        <v>20</v>
      </c>
      <c r="H24" s="391">
        <f t="shared" si="2"/>
        <v>8</v>
      </c>
    </row>
    <row r="25" spans="1:8" ht="30" customHeight="1" x14ac:dyDescent="0.25">
      <c r="A25" s="349" t="s">
        <v>350</v>
      </c>
      <c r="B25" s="389">
        <v>15.62</v>
      </c>
      <c r="C25" s="390">
        <f t="shared" si="0"/>
        <v>4.5900000000000016</v>
      </c>
      <c r="D25" s="390">
        <v>40</v>
      </c>
      <c r="E25" s="390"/>
      <c r="F25" s="390"/>
      <c r="G25" s="390">
        <f t="shared" si="1"/>
        <v>40</v>
      </c>
      <c r="H25" s="391">
        <f t="shared" si="2"/>
        <v>413</v>
      </c>
    </row>
    <row r="26" spans="1:8" ht="15" customHeight="1" x14ac:dyDescent="0.25">
      <c r="A26" s="351" t="s">
        <v>345</v>
      </c>
      <c r="B26" s="392">
        <v>20.21</v>
      </c>
      <c r="C26" s="393"/>
      <c r="D26" s="394"/>
      <c r="E26" s="394"/>
      <c r="F26" s="394"/>
      <c r="G26" s="393"/>
      <c r="H26" s="395"/>
    </row>
    <row r="27" spans="1:8" ht="15" customHeight="1" x14ac:dyDescent="0.25">
      <c r="A27" s="382" t="s">
        <v>346</v>
      </c>
      <c r="B27" s="383"/>
      <c r="C27" s="285"/>
      <c r="D27" s="285"/>
      <c r="E27" s="285"/>
      <c r="F27" s="285"/>
      <c r="G27" s="384" t="s">
        <v>347</v>
      </c>
      <c r="H27" s="385">
        <f>SUM(H5:H26)</f>
        <v>1899</v>
      </c>
    </row>
    <row r="28" spans="1:8" ht="15" customHeight="1" x14ac:dyDescent="0.25">
      <c r="G28" s="384" t="s">
        <v>348</v>
      </c>
      <c r="H28" s="385" t="str">
        <f>ROUNDDOWN(H27/60,0)&amp;"'"&amp;H27-ROUNDDOWN(H27/60,0)*60&amp;CHAR(34)</f>
        <v>31'39"</v>
      </c>
    </row>
    <row r="29" spans="1:8" ht="15" customHeight="1" x14ac:dyDescent="0.25"/>
    <row r="30" spans="1:8" ht="15" customHeight="1" x14ac:dyDescent="0.25"/>
    <row r="31" spans="1:8" ht="15" customHeight="1" x14ac:dyDescent="0.25"/>
    <row r="32" spans="1:8" ht="15" customHeight="1" x14ac:dyDescent="0.25"/>
    <row r="33" spans="7:8" ht="15" customHeight="1" x14ac:dyDescent="0.25">
      <c r="G33" s="235"/>
      <c r="H33" s="236"/>
    </row>
    <row r="34" spans="7:8" ht="15" customHeight="1" x14ac:dyDescent="0.25"/>
    <row r="35" spans="7:8" ht="15" customHeight="1" x14ac:dyDescent="0.25"/>
    <row r="36" spans="7:8" ht="15" customHeight="1" x14ac:dyDescent="0.25"/>
    <row r="37" spans="7:8" ht="15" customHeight="1" x14ac:dyDescent="0.25"/>
    <row r="38" spans="7:8" ht="15" customHeight="1" x14ac:dyDescent="0.25"/>
  </sheetData>
  <mergeCells count="2">
    <mergeCell ref="B1:H1"/>
    <mergeCell ref="B2:H2"/>
  </mergeCells>
  <pageMargins left="0.78740157480314965" right="0.39370078740157483" top="0.78740157480314965" bottom="0.78740157480314965" header="0" footer="0"/>
  <pageSetup paperSize="9" orientation="landscape" horizont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D9"/>
  <sheetViews>
    <sheetView view="pageBreakPreview" zoomScale="70" zoomScaleNormal="40" zoomScaleSheetLayoutView="70" workbookViewId="0"/>
  </sheetViews>
  <sheetFormatPr defaultRowHeight="15" x14ac:dyDescent="0.25"/>
  <cols>
    <col min="1" max="4" width="21.7109375" style="15" customWidth="1"/>
    <col min="5" max="16384" width="9.140625" style="15"/>
  </cols>
  <sheetData>
    <row r="1" spans="1:4" ht="17.45" customHeight="1" x14ac:dyDescent="0.25">
      <c r="A1" s="2"/>
      <c r="B1" s="401" t="str">
        <f>НазваниеКраткое</f>
        <v>Западные ворота - 2017</v>
      </c>
      <c r="C1" s="21" t="s">
        <v>8</v>
      </c>
      <c r="D1" s="21">
        <f>КВ1Расстояние</f>
        <v>87.18</v>
      </c>
    </row>
    <row r="2" spans="1:4" ht="17.45" customHeight="1" x14ac:dyDescent="0.25">
      <c r="A2" s="5"/>
      <c r="B2" s="401" t="str">
        <f>КВ0</f>
        <v>КВ-0 Старт</v>
      </c>
      <c r="C2" s="21" t="s">
        <v>10</v>
      </c>
      <c r="D2" s="21">
        <f>КВ1Время</f>
        <v>105</v>
      </c>
    </row>
    <row r="3" spans="1:4" ht="17.45" customHeight="1" x14ac:dyDescent="0.25">
      <c r="A3" s="405"/>
      <c r="B3" s="401" t="str">
        <f>КВ1</f>
        <v>КВ-1 Борщевик</v>
      </c>
      <c r="C3" s="21" t="s">
        <v>9</v>
      </c>
      <c r="D3" s="21">
        <f>КВ1Скорость</f>
        <v>49.82</v>
      </c>
    </row>
    <row r="4" spans="1:4" ht="35.1" customHeight="1" x14ac:dyDescent="0.25">
      <c r="A4" s="704" t="s">
        <v>425</v>
      </c>
      <c r="B4" s="705"/>
      <c r="C4" s="705"/>
      <c r="D4" s="706"/>
    </row>
    <row r="5" spans="1:4" ht="120" customHeight="1" x14ac:dyDescent="0.25">
      <c r="A5" s="406">
        <v>1</v>
      </c>
      <c r="B5" s="406">
        <f t="shared" ref="B5:D6" si="0">1+A5</f>
        <v>2</v>
      </c>
      <c r="C5" s="406">
        <f t="shared" si="0"/>
        <v>3</v>
      </c>
      <c r="D5" s="406">
        <f t="shared" si="0"/>
        <v>4</v>
      </c>
    </row>
    <row r="6" spans="1:4" ht="120" customHeight="1" x14ac:dyDescent="0.25">
      <c r="A6" s="406">
        <f>1+D5</f>
        <v>5</v>
      </c>
      <c r="B6" s="406">
        <f t="shared" si="0"/>
        <v>6</v>
      </c>
      <c r="C6" s="406">
        <f t="shared" si="0"/>
        <v>7</v>
      </c>
      <c r="D6" s="406">
        <f t="shared" si="0"/>
        <v>8</v>
      </c>
    </row>
    <row r="7" spans="1:4" ht="120" customHeight="1" x14ac:dyDescent="0.25">
      <c r="A7" s="406">
        <f t="shared" ref="A7" si="1">1+D6</f>
        <v>9</v>
      </c>
      <c r="B7" s="406"/>
      <c r="C7" s="406"/>
      <c r="D7" s="406"/>
    </row>
    <row r="8" spans="1:4" ht="120" customHeight="1" x14ac:dyDescent="0.25">
      <c r="A8" s="406"/>
      <c r="B8" s="406"/>
      <c r="C8" s="406"/>
      <c r="D8" s="406"/>
    </row>
    <row r="9" spans="1:4" ht="120" customHeight="1" x14ac:dyDescent="0.25">
      <c r="A9" s="406"/>
      <c r="B9" s="406"/>
      <c r="C9" s="406"/>
      <c r="D9" s="406"/>
    </row>
  </sheetData>
  <mergeCells count="1">
    <mergeCell ref="A4:D4"/>
  </mergeCells>
  <pageMargins left="0.78740157480314965" right="0.39370078740157483" top="0.78740157480314965" bottom="0.78740157480314965" header="0" footer="0"/>
  <pageSetup paperSize="9" orientation="portrait" horizontalDpi="300" verticalDpi="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L32"/>
  <sheetViews>
    <sheetView view="pageBreakPreview" zoomScaleSheetLayoutView="100" workbookViewId="0">
      <selection activeCell="A3" sqref="A3"/>
    </sheetView>
  </sheetViews>
  <sheetFormatPr defaultColWidth="9.140625" defaultRowHeight="15" x14ac:dyDescent="0.25"/>
  <cols>
    <col min="1" max="6" width="9.140625" style="17"/>
    <col min="7" max="7" width="9.140625" style="17" customWidth="1"/>
    <col min="8" max="10" width="9.140625" style="17"/>
    <col min="11" max="11" width="22.42578125" style="17" customWidth="1"/>
    <col min="12" max="16384" width="9.140625" style="17"/>
  </cols>
  <sheetData>
    <row r="1" spans="1:12" ht="21" customHeight="1" x14ac:dyDescent="0.25">
      <c r="A1" s="31"/>
      <c r="B1" s="163"/>
      <c r="C1" s="587" t="str">
        <f>НазваниеКраткое</f>
        <v>Западные ворота - 2017</v>
      </c>
      <c r="D1" s="582"/>
      <c r="E1" s="582"/>
      <c r="F1" s="588"/>
      <c r="G1" s="590" t="str">
        <f ca="1">INDIRECT(ADDRESS(L3,1,,,"Общее"))</f>
        <v>ДС-2 РУ Финиш</v>
      </c>
      <c r="H1" s="591"/>
      <c r="I1" s="592"/>
    </row>
    <row r="2" spans="1:12" ht="21" customHeight="1" thickBot="1" x14ac:dyDescent="0.3">
      <c r="A2" s="31"/>
      <c r="B2" s="164"/>
      <c r="C2" s="583" t="s">
        <v>11</v>
      </c>
      <c r="D2" s="583"/>
      <c r="E2" s="583"/>
      <c r="F2" s="589"/>
      <c r="G2" s="593" t="s">
        <v>187</v>
      </c>
      <c r="H2" s="594"/>
      <c r="I2" s="595"/>
    </row>
    <row r="3" spans="1:12" ht="21" customHeight="1" x14ac:dyDescent="0.25">
      <c r="A3" s="106" t="s">
        <v>12</v>
      </c>
      <c r="B3" s="597" t="str">
        <f ca="1">INDIRECT(ADDRESS(L3,14,,,"Общее"))</f>
        <v>Васильев</v>
      </c>
      <c r="C3" s="598"/>
      <c r="D3" s="107" t="s">
        <v>184</v>
      </c>
      <c r="E3" s="112" t="s">
        <v>181</v>
      </c>
      <c r="F3" s="110">
        <f ca="1">INDIRECT(ADDRESS(L3,11,,,"Общее"))</f>
        <v>0.47341554596547575</v>
      </c>
      <c r="G3" s="112" t="s">
        <v>180</v>
      </c>
      <c r="H3" s="602" t="s">
        <v>225</v>
      </c>
      <c r="I3" s="603"/>
      <c r="K3" s="17" t="s">
        <v>207</v>
      </c>
      <c r="L3" s="17">
        <v>16</v>
      </c>
    </row>
    <row r="4" spans="1:12" ht="21" customHeight="1" thickBot="1" x14ac:dyDescent="0.3">
      <c r="A4" s="108" t="s">
        <v>183</v>
      </c>
      <c r="B4" s="161"/>
      <c r="C4" s="114"/>
      <c r="D4" s="109" t="s">
        <v>185</v>
      </c>
      <c r="E4" s="113" t="s">
        <v>181</v>
      </c>
      <c r="F4" s="111">
        <f ca="1">INDIRECT(ADDRESS(L3,13,,,"Общее"))</f>
        <v>0.52995115750033461</v>
      </c>
      <c r="G4" s="113" t="s">
        <v>180</v>
      </c>
      <c r="H4" s="604" t="s">
        <v>225</v>
      </c>
      <c r="I4" s="605"/>
    </row>
    <row r="5" spans="1:12" ht="50.1" customHeight="1" thickBot="1" x14ac:dyDescent="0.3">
      <c r="A5" s="628" t="s">
        <v>262</v>
      </c>
      <c r="B5" s="628"/>
      <c r="C5" s="628"/>
      <c r="D5" s="628"/>
      <c r="E5" s="628"/>
      <c r="F5" s="628"/>
      <c r="G5" s="628"/>
      <c r="H5" s="628"/>
      <c r="I5" s="628"/>
    </row>
    <row r="6" spans="1:12" ht="21" customHeight="1" x14ac:dyDescent="0.25">
      <c r="A6" s="629"/>
      <c r="B6" s="631" t="s">
        <v>0</v>
      </c>
      <c r="C6" s="633" t="s">
        <v>40</v>
      </c>
      <c r="D6" s="659"/>
      <c r="E6" s="634"/>
      <c r="F6" s="637" t="s">
        <v>90</v>
      </c>
      <c r="G6" s="638"/>
      <c r="H6" s="638"/>
      <c r="I6" s="639"/>
    </row>
    <row r="7" spans="1:12" ht="21" customHeight="1" x14ac:dyDescent="0.25">
      <c r="A7" s="630"/>
      <c r="B7" s="632"/>
      <c r="C7" s="635" t="s">
        <v>228</v>
      </c>
      <c r="D7" s="660"/>
      <c r="E7" s="636"/>
      <c r="F7" s="640"/>
      <c r="G7" s="641"/>
      <c r="H7" s="641"/>
      <c r="I7" s="642"/>
    </row>
    <row r="8" spans="1:12" ht="24" customHeight="1" x14ac:dyDescent="0.25">
      <c r="A8" s="40">
        <v>1</v>
      </c>
      <c r="B8" s="154"/>
      <c r="C8" s="626" t="s">
        <v>227</v>
      </c>
      <c r="D8" s="707"/>
      <c r="E8" s="627"/>
      <c r="F8" s="609"/>
      <c r="G8" s="610"/>
      <c r="H8" s="610"/>
      <c r="I8" s="615"/>
    </row>
    <row r="9" spans="1:12" ht="24" customHeight="1" x14ac:dyDescent="0.25">
      <c r="A9" s="34">
        <f>1+A8</f>
        <v>2</v>
      </c>
      <c r="B9" s="155"/>
      <c r="C9" s="616" t="s">
        <v>227</v>
      </c>
      <c r="D9" s="661"/>
      <c r="E9" s="617"/>
      <c r="F9" s="584"/>
      <c r="G9" s="585"/>
      <c r="H9" s="585"/>
      <c r="I9" s="613"/>
    </row>
    <row r="10" spans="1:12" ht="24" customHeight="1" x14ac:dyDescent="0.25">
      <c r="A10" s="34">
        <f t="shared" ref="A10:A30" si="0">1+A9</f>
        <v>3</v>
      </c>
      <c r="B10" s="155"/>
      <c r="C10" s="616" t="s">
        <v>227</v>
      </c>
      <c r="D10" s="661"/>
      <c r="E10" s="617"/>
      <c r="F10" s="584"/>
      <c r="G10" s="585"/>
      <c r="H10" s="585"/>
      <c r="I10" s="613"/>
    </row>
    <row r="11" spans="1:12" ht="24" customHeight="1" x14ac:dyDescent="0.25">
      <c r="A11" s="34">
        <f t="shared" si="0"/>
        <v>4</v>
      </c>
      <c r="B11" s="155"/>
      <c r="C11" s="616" t="s">
        <v>227</v>
      </c>
      <c r="D11" s="661"/>
      <c r="E11" s="617"/>
      <c r="F11" s="584"/>
      <c r="G11" s="585"/>
      <c r="H11" s="585"/>
      <c r="I11" s="613"/>
    </row>
    <row r="12" spans="1:12" ht="24" customHeight="1" x14ac:dyDescent="0.25">
      <c r="A12" s="34">
        <f t="shared" si="0"/>
        <v>5</v>
      </c>
      <c r="B12" s="155"/>
      <c r="C12" s="616" t="s">
        <v>227</v>
      </c>
      <c r="D12" s="661"/>
      <c r="E12" s="617"/>
      <c r="F12" s="584"/>
      <c r="G12" s="585"/>
      <c r="H12" s="585"/>
      <c r="I12" s="613"/>
    </row>
    <row r="13" spans="1:12" ht="24" customHeight="1" x14ac:dyDescent="0.25">
      <c r="A13" s="34">
        <f t="shared" si="0"/>
        <v>6</v>
      </c>
      <c r="B13" s="155"/>
      <c r="C13" s="616" t="s">
        <v>227</v>
      </c>
      <c r="D13" s="661"/>
      <c r="E13" s="617"/>
      <c r="F13" s="584"/>
      <c r="G13" s="585"/>
      <c r="H13" s="585"/>
      <c r="I13" s="613"/>
    </row>
    <row r="14" spans="1:12" ht="24" customHeight="1" x14ac:dyDescent="0.25">
      <c r="A14" s="34">
        <f t="shared" si="0"/>
        <v>7</v>
      </c>
      <c r="B14" s="155"/>
      <c r="C14" s="616" t="s">
        <v>227</v>
      </c>
      <c r="D14" s="661"/>
      <c r="E14" s="617"/>
      <c r="F14" s="584"/>
      <c r="G14" s="585"/>
      <c r="H14" s="585"/>
      <c r="I14" s="613"/>
    </row>
    <row r="15" spans="1:12" ht="24" customHeight="1" x14ac:dyDescent="0.25">
      <c r="A15" s="34">
        <f t="shared" si="0"/>
        <v>8</v>
      </c>
      <c r="B15" s="155"/>
      <c r="C15" s="616" t="s">
        <v>227</v>
      </c>
      <c r="D15" s="661"/>
      <c r="E15" s="617"/>
      <c r="F15" s="584"/>
      <c r="G15" s="585"/>
      <c r="H15" s="585"/>
      <c r="I15" s="613"/>
    </row>
    <row r="16" spans="1:12" ht="24" customHeight="1" x14ac:dyDescent="0.25">
      <c r="A16" s="34">
        <f t="shared" si="0"/>
        <v>9</v>
      </c>
      <c r="B16" s="155"/>
      <c r="C16" s="616" t="s">
        <v>227</v>
      </c>
      <c r="D16" s="661"/>
      <c r="E16" s="617"/>
      <c r="F16" s="584"/>
      <c r="G16" s="585"/>
      <c r="H16" s="585"/>
      <c r="I16" s="613"/>
    </row>
    <row r="17" spans="1:9" ht="24" customHeight="1" x14ac:dyDescent="0.25">
      <c r="A17" s="34">
        <f t="shared" si="0"/>
        <v>10</v>
      </c>
      <c r="B17" s="155"/>
      <c r="C17" s="616" t="s">
        <v>227</v>
      </c>
      <c r="D17" s="661"/>
      <c r="E17" s="617"/>
      <c r="F17" s="584"/>
      <c r="G17" s="585"/>
      <c r="H17" s="585"/>
      <c r="I17" s="613"/>
    </row>
    <row r="18" spans="1:9" ht="24" customHeight="1" x14ac:dyDescent="0.25">
      <c r="A18" s="34">
        <f t="shared" si="0"/>
        <v>11</v>
      </c>
      <c r="B18" s="155"/>
      <c r="C18" s="616" t="s">
        <v>227</v>
      </c>
      <c r="D18" s="661"/>
      <c r="E18" s="617"/>
      <c r="F18" s="584"/>
      <c r="G18" s="585"/>
      <c r="H18" s="585"/>
      <c r="I18" s="613"/>
    </row>
    <row r="19" spans="1:9" ht="24" customHeight="1" x14ac:dyDescent="0.25">
      <c r="A19" s="34">
        <f t="shared" si="0"/>
        <v>12</v>
      </c>
      <c r="B19" s="155"/>
      <c r="C19" s="616" t="s">
        <v>227</v>
      </c>
      <c r="D19" s="661"/>
      <c r="E19" s="617"/>
      <c r="F19" s="584"/>
      <c r="G19" s="585"/>
      <c r="H19" s="585"/>
      <c r="I19" s="613"/>
    </row>
    <row r="20" spans="1:9" ht="24" customHeight="1" x14ac:dyDescent="0.25">
      <c r="A20" s="34">
        <f t="shared" si="0"/>
        <v>13</v>
      </c>
      <c r="B20" s="155"/>
      <c r="C20" s="616" t="s">
        <v>227</v>
      </c>
      <c r="D20" s="661"/>
      <c r="E20" s="617"/>
      <c r="F20" s="584"/>
      <c r="G20" s="585"/>
      <c r="H20" s="585"/>
      <c r="I20" s="613"/>
    </row>
    <row r="21" spans="1:9" ht="24" customHeight="1" x14ac:dyDescent="0.25">
      <c r="A21" s="34">
        <f t="shared" si="0"/>
        <v>14</v>
      </c>
      <c r="B21" s="155"/>
      <c r="C21" s="616" t="s">
        <v>227</v>
      </c>
      <c r="D21" s="661"/>
      <c r="E21" s="617"/>
      <c r="F21" s="584"/>
      <c r="G21" s="585"/>
      <c r="H21" s="585"/>
      <c r="I21" s="613"/>
    </row>
    <row r="22" spans="1:9" ht="24" customHeight="1" x14ac:dyDescent="0.25">
      <c r="A22" s="34">
        <f t="shared" si="0"/>
        <v>15</v>
      </c>
      <c r="B22" s="155"/>
      <c r="C22" s="616" t="s">
        <v>227</v>
      </c>
      <c r="D22" s="661"/>
      <c r="E22" s="617"/>
      <c r="F22" s="584"/>
      <c r="G22" s="585"/>
      <c r="H22" s="585"/>
      <c r="I22" s="613"/>
    </row>
    <row r="23" spans="1:9" ht="24" customHeight="1" x14ac:dyDescent="0.25">
      <c r="A23" s="34">
        <f t="shared" si="0"/>
        <v>16</v>
      </c>
      <c r="B23" s="155"/>
      <c r="C23" s="616" t="s">
        <v>227</v>
      </c>
      <c r="D23" s="661"/>
      <c r="E23" s="617"/>
      <c r="F23" s="584"/>
      <c r="G23" s="585"/>
      <c r="H23" s="585"/>
      <c r="I23" s="613"/>
    </row>
    <row r="24" spans="1:9" ht="24" customHeight="1" x14ac:dyDescent="0.25">
      <c r="A24" s="34">
        <f t="shared" si="0"/>
        <v>17</v>
      </c>
      <c r="B24" s="155"/>
      <c r="C24" s="616" t="s">
        <v>227</v>
      </c>
      <c r="D24" s="661"/>
      <c r="E24" s="617"/>
      <c r="F24" s="584"/>
      <c r="G24" s="585"/>
      <c r="H24" s="585"/>
      <c r="I24" s="613"/>
    </row>
    <row r="25" spans="1:9" ht="24" customHeight="1" x14ac:dyDescent="0.25">
      <c r="A25" s="34">
        <f t="shared" si="0"/>
        <v>18</v>
      </c>
      <c r="B25" s="155"/>
      <c r="C25" s="616" t="s">
        <v>227</v>
      </c>
      <c r="D25" s="661"/>
      <c r="E25" s="617"/>
      <c r="F25" s="584"/>
      <c r="G25" s="585"/>
      <c r="H25" s="585"/>
      <c r="I25" s="613"/>
    </row>
    <row r="26" spans="1:9" ht="24" customHeight="1" x14ac:dyDescent="0.25">
      <c r="A26" s="34">
        <f t="shared" si="0"/>
        <v>19</v>
      </c>
      <c r="B26" s="155"/>
      <c r="C26" s="616" t="s">
        <v>227</v>
      </c>
      <c r="D26" s="661"/>
      <c r="E26" s="617"/>
      <c r="F26" s="584"/>
      <c r="G26" s="585"/>
      <c r="H26" s="585"/>
      <c r="I26" s="613"/>
    </row>
    <row r="27" spans="1:9" ht="24" customHeight="1" x14ac:dyDescent="0.25">
      <c r="A27" s="34">
        <f t="shared" si="0"/>
        <v>20</v>
      </c>
      <c r="B27" s="155"/>
      <c r="C27" s="616" t="s">
        <v>227</v>
      </c>
      <c r="D27" s="661"/>
      <c r="E27" s="617"/>
      <c r="F27" s="584"/>
      <c r="G27" s="585"/>
      <c r="H27" s="585"/>
      <c r="I27" s="613"/>
    </row>
    <row r="28" spans="1:9" ht="24" customHeight="1" x14ac:dyDescent="0.25">
      <c r="A28" s="34">
        <f t="shared" si="0"/>
        <v>21</v>
      </c>
      <c r="B28" s="155"/>
      <c r="C28" s="616" t="s">
        <v>227</v>
      </c>
      <c r="D28" s="661"/>
      <c r="E28" s="617"/>
      <c r="F28" s="584"/>
      <c r="G28" s="585"/>
      <c r="H28" s="585"/>
      <c r="I28" s="613"/>
    </row>
    <row r="29" spans="1:9" ht="24" customHeight="1" x14ac:dyDescent="0.25">
      <c r="A29" s="34">
        <f t="shared" si="0"/>
        <v>22</v>
      </c>
      <c r="B29" s="155"/>
      <c r="C29" s="616" t="s">
        <v>227</v>
      </c>
      <c r="D29" s="661"/>
      <c r="E29" s="617"/>
      <c r="F29" s="584"/>
      <c r="G29" s="585"/>
      <c r="H29" s="585"/>
      <c r="I29" s="613"/>
    </row>
    <row r="30" spans="1:9" ht="24" customHeight="1" x14ac:dyDescent="0.25">
      <c r="A30" s="34">
        <f t="shared" si="0"/>
        <v>23</v>
      </c>
      <c r="B30" s="155"/>
      <c r="C30" s="616" t="s">
        <v>227</v>
      </c>
      <c r="D30" s="661"/>
      <c r="E30" s="617"/>
      <c r="F30" s="584"/>
      <c r="G30" s="585"/>
      <c r="H30" s="585"/>
      <c r="I30" s="613"/>
    </row>
    <row r="31" spans="1:9" s="49" customFormat="1" ht="24" customHeight="1" thickBot="1" x14ac:dyDescent="0.3">
      <c r="A31" s="26">
        <f>1+A30</f>
        <v>24</v>
      </c>
      <c r="B31" s="156"/>
      <c r="C31" s="620" t="s">
        <v>227</v>
      </c>
      <c r="D31" s="663"/>
      <c r="E31" s="621"/>
      <c r="F31" s="599"/>
      <c r="G31" s="600"/>
      <c r="H31" s="600"/>
      <c r="I31" s="614"/>
    </row>
    <row r="32" spans="1:9" s="49" customFormat="1" ht="3" customHeight="1" x14ac:dyDescent="0.25">
      <c r="A32" s="32"/>
      <c r="B32" s="32"/>
      <c r="C32" s="32"/>
      <c r="D32" s="32"/>
      <c r="E32" s="32"/>
      <c r="F32" s="32"/>
      <c r="G32" s="32"/>
      <c r="H32" s="32"/>
      <c r="I32" s="28"/>
    </row>
  </sheetData>
  <mergeCells count="61">
    <mergeCell ref="C28:E28"/>
    <mergeCell ref="C29:E29"/>
    <mergeCell ref="C30:E30"/>
    <mergeCell ref="C31:E31"/>
    <mergeCell ref="F27:I27"/>
    <mergeCell ref="F28:I28"/>
    <mergeCell ref="F29:I29"/>
    <mergeCell ref="F30:I30"/>
    <mergeCell ref="F31:I31"/>
    <mergeCell ref="C27:E27"/>
    <mergeCell ref="F24:I24"/>
    <mergeCell ref="F25:I25"/>
    <mergeCell ref="F26:I26"/>
    <mergeCell ref="C24:E24"/>
    <mergeCell ref="C25:E25"/>
    <mergeCell ref="C26:E26"/>
    <mergeCell ref="F21:I21"/>
    <mergeCell ref="F22:I22"/>
    <mergeCell ref="F23:I23"/>
    <mergeCell ref="C21:E21"/>
    <mergeCell ref="C22:E22"/>
    <mergeCell ref="C23:E23"/>
    <mergeCell ref="F18:I18"/>
    <mergeCell ref="F19:I19"/>
    <mergeCell ref="F20:I20"/>
    <mergeCell ref="C18:E18"/>
    <mergeCell ref="C19:E19"/>
    <mergeCell ref="C20:E20"/>
    <mergeCell ref="F15:I15"/>
    <mergeCell ref="F16:I16"/>
    <mergeCell ref="F17:I17"/>
    <mergeCell ref="C15:E15"/>
    <mergeCell ref="C16:E16"/>
    <mergeCell ref="C17:E17"/>
    <mergeCell ref="F12:I12"/>
    <mergeCell ref="F13:I13"/>
    <mergeCell ref="F14:I14"/>
    <mergeCell ref="C12:E12"/>
    <mergeCell ref="C13:E13"/>
    <mergeCell ref="C14:E14"/>
    <mergeCell ref="F9:I9"/>
    <mergeCell ref="F10:I10"/>
    <mergeCell ref="F11:I11"/>
    <mergeCell ref="C9:E9"/>
    <mergeCell ref="C10:E10"/>
    <mergeCell ref="C11:E11"/>
    <mergeCell ref="A6:A7"/>
    <mergeCell ref="B6:B7"/>
    <mergeCell ref="C6:E6"/>
    <mergeCell ref="F6:I7"/>
    <mergeCell ref="F8:I8"/>
    <mergeCell ref="C7:E7"/>
    <mergeCell ref="C8:E8"/>
    <mergeCell ref="A5:I5"/>
    <mergeCell ref="C1:F1"/>
    <mergeCell ref="G1:I1"/>
    <mergeCell ref="C2:F2"/>
    <mergeCell ref="G2:I2"/>
    <mergeCell ref="B3:C3"/>
    <mergeCell ref="H3:I3"/>
    <mergeCell ref="H4:I4"/>
  </mergeCells>
  <pageMargins left="0.78740157480314965" right="0.39370078740157483" top="0.78740157480314965" bottom="0.78740157480314965" header="0" footer="0"/>
  <pageSetup paperSize="9" orientation="portrait" horizont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L15"/>
  <sheetViews>
    <sheetView view="pageBreakPreview" zoomScale="85" zoomScaleNormal="70" zoomScaleSheetLayoutView="85" zoomScalePageLayoutView="40" workbookViewId="0"/>
  </sheetViews>
  <sheetFormatPr defaultColWidth="9.140625"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10.7109375" style="15" customWidth="1"/>
    <col min="8" max="8" width="135.7109375" style="15" customWidth="1"/>
    <col min="9" max="9" width="23.7109375" style="15" customWidth="1"/>
    <col min="10" max="10" width="16.7109375" style="15" customWidth="1"/>
    <col min="11" max="11" width="20.7109375" style="15" customWidth="1"/>
    <col min="12" max="12" width="10.7109375" style="15" customWidth="1"/>
    <col min="13" max="13" width="9.140625" style="15"/>
    <col min="14" max="14" width="9.42578125" style="15" customWidth="1"/>
    <col min="15" max="16384" width="9.140625" style="15"/>
  </cols>
  <sheetData>
    <row r="1" spans="1:12" ht="17.45" customHeight="1" x14ac:dyDescent="0.25">
      <c r="A1" s="88"/>
      <c r="B1" s="89"/>
      <c r="C1" s="89"/>
      <c r="D1" s="89"/>
      <c r="E1" s="89"/>
      <c r="F1" s="89"/>
      <c r="G1" s="89"/>
      <c r="H1" s="4"/>
      <c r="I1" s="540" t="e">
        <f>#REF!</f>
        <v>#REF!</v>
      </c>
      <c r="J1" s="541"/>
      <c r="K1" s="21" t="s">
        <v>8</v>
      </c>
      <c r="L1" s="22" t="e">
        <f>#REF!</f>
        <v>#REF!</v>
      </c>
    </row>
    <row r="2" spans="1:12" ht="17.45" customHeight="1" x14ac:dyDescent="0.25">
      <c r="A2" s="90"/>
      <c r="B2" s="74"/>
      <c r="C2" s="74"/>
      <c r="D2" s="74"/>
      <c r="E2" s="74"/>
      <c r="F2" s="74"/>
      <c r="G2" s="74"/>
      <c r="H2" s="7"/>
      <c r="I2" s="540" t="e">
        <f>#REF!</f>
        <v>#REF!</v>
      </c>
      <c r="J2" s="541"/>
      <c r="K2" s="21" t="s">
        <v>10</v>
      </c>
      <c r="L2" s="20" t="e">
        <f>#REF!</f>
        <v>#REF!</v>
      </c>
    </row>
    <row r="3" spans="1:12" ht="17.45" customHeight="1" x14ac:dyDescent="0.25">
      <c r="A3" s="91"/>
      <c r="B3" s="92"/>
      <c r="C3" s="92"/>
      <c r="D3" s="92"/>
      <c r="E3" s="92"/>
      <c r="F3" s="92"/>
      <c r="G3" s="92"/>
      <c r="H3" s="9"/>
      <c r="I3" s="540" t="e">
        <f>#REF!</f>
        <v>#REF!</v>
      </c>
      <c r="J3" s="541"/>
      <c r="K3" s="21" t="s">
        <v>9</v>
      </c>
      <c r="L3" s="22" t="e">
        <f>#REF!</f>
        <v>#REF!</v>
      </c>
    </row>
    <row r="4" spans="1:12" ht="114.95" customHeight="1" x14ac:dyDescent="0.25">
      <c r="A4" s="88"/>
      <c r="B4" s="89"/>
      <c r="C4" s="89"/>
      <c r="D4" s="89"/>
      <c r="E4" s="89"/>
      <c r="F4" s="89"/>
      <c r="G4" s="89"/>
      <c r="H4" s="3"/>
      <c r="I4" s="59"/>
      <c r="J4" s="59"/>
      <c r="K4" s="60"/>
      <c r="L4" s="61"/>
    </row>
    <row r="5" spans="1:12" ht="114.95" customHeight="1" x14ac:dyDescent="0.25">
      <c r="A5" s="90"/>
      <c r="B5" s="74"/>
      <c r="C5" s="74"/>
      <c r="D5" s="74"/>
      <c r="E5" s="74"/>
      <c r="F5" s="74"/>
      <c r="G5" s="74"/>
      <c r="H5" s="6"/>
      <c r="I5" s="62"/>
      <c r="J5" s="62"/>
      <c r="K5" s="63"/>
      <c r="L5" s="64"/>
    </row>
    <row r="6" spans="1:12" ht="114.95" customHeight="1" x14ac:dyDescent="0.25">
      <c r="A6" s="90"/>
      <c r="B6" s="74"/>
      <c r="C6" s="74"/>
      <c r="D6" s="74"/>
      <c r="E6" s="74"/>
      <c r="F6" s="74"/>
      <c r="G6" s="74"/>
      <c r="H6" s="6"/>
      <c r="I6" s="62"/>
      <c r="J6" s="62"/>
      <c r="K6" s="63"/>
      <c r="L6" s="64"/>
    </row>
    <row r="7" spans="1:12" ht="114.95" customHeight="1" x14ac:dyDescent="0.25">
      <c r="A7" s="90"/>
      <c r="B7" s="74"/>
      <c r="C7" s="74"/>
      <c r="D7" s="74"/>
      <c r="E7" s="74"/>
      <c r="F7" s="74"/>
      <c r="G7" s="74"/>
      <c r="H7" s="6"/>
      <c r="I7" s="62"/>
      <c r="J7" s="62"/>
      <c r="K7" s="63"/>
      <c r="L7" s="64"/>
    </row>
    <row r="8" spans="1:12" ht="114.95" customHeight="1" x14ac:dyDescent="0.25">
      <c r="A8" s="90"/>
      <c r="B8" s="74"/>
      <c r="C8" s="74"/>
      <c r="D8" s="74"/>
      <c r="E8" s="74"/>
      <c r="F8" s="74"/>
      <c r="G8" s="74"/>
      <c r="H8" s="6"/>
      <c r="I8" s="62"/>
      <c r="J8" s="62"/>
      <c r="K8" s="63"/>
      <c r="L8" s="64"/>
    </row>
    <row r="9" spans="1:12" ht="114.95" customHeight="1" x14ac:dyDescent="0.25">
      <c r="A9" s="90"/>
      <c r="B9" s="74"/>
      <c r="C9" s="74"/>
      <c r="D9" s="74"/>
      <c r="E9" s="74"/>
      <c r="F9" s="74"/>
      <c r="G9" s="74"/>
      <c r="H9" s="6"/>
      <c r="I9" s="62"/>
      <c r="J9" s="62"/>
      <c r="K9" s="63"/>
      <c r="L9" s="64"/>
    </row>
    <row r="10" spans="1:12" ht="114.95" customHeight="1" x14ac:dyDescent="0.25">
      <c r="A10" s="90"/>
      <c r="B10" s="74"/>
      <c r="C10" s="74"/>
      <c r="D10" s="74"/>
      <c r="E10" s="74"/>
      <c r="F10" s="74"/>
      <c r="G10" s="74"/>
      <c r="H10" s="6"/>
      <c r="I10" s="62"/>
      <c r="J10" s="62"/>
      <c r="K10" s="63"/>
      <c r="L10" s="64"/>
    </row>
    <row r="11" spans="1:12" ht="87.6" customHeight="1" x14ac:dyDescent="0.25">
      <c r="A11" s="90"/>
      <c r="B11" s="74"/>
      <c r="C11" s="74"/>
      <c r="D11" s="74"/>
      <c r="E11" s="74"/>
      <c r="F11" s="74"/>
      <c r="G11" s="74"/>
      <c r="H11" s="6"/>
      <c r="I11" s="62"/>
      <c r="J11" s="62"/>
      <c r="K11" s="63"/>
      <c r="L11" s="64"/>
    </row>
    <row r="12" spans="1:12" ht="17.45" customHeight="1" x14ac:dyDescent="0.25">
      <c r="A12" s="1" t="e">
        <f>#REF!</f>
        <v>#REF!</v>
      </c>
      <c r="B12" s="1" t="e">
        <f>#REF!</f>
        <v>#REF!</v>
      </c>
      <c r="C12" s="1" t="e">
        <f>#REF!</f>
        <v>#REF!</v>
      </c>
      <c r="D12" s="1" t="e">
        <f>#REF!</f>
        <v>#REF!</v>
      </c>
      <c r="E12" s="460" t="e">
        <f>#REF!</f>
        <v>#REF!</v>
      </c>
      <c r="F12" s="461"/>
      <c r="G12" s="1" t="e">
        <f>#REF!</f>
        <v>#REF!</v>
      </c>
      <c r="H12" s="6"/>
      <c r="I12" s="62"/>
      <c r="J12" s="62"/>
      <c r="K12" s="63"/>
      <c r="L12" s="64"/>
    </row>
    <row r="13" spans="1:12" ht="120" customHeight="1" x14ac:dyDescent="0.25">
      <c r="A13" s="10" t="e">
        <f>#REF!</f>
        <v>#REF!</v>
      </c>
      <c r="B13" s="14" t="e">
        <f>#REF!</f>
        <v>#REF!</v>
      </c>
      <c r="C13" s="11"/>
      <c r="D13" s="10"/>
      <c r="E13" s="453" t="e">
        <f>#REF!</f>
        <v>#REF!</v>
      </c>
      <c r="F13" s="454"/>
      <c r="G13" s="11" t="e">
        <f>#REF!</f>
        <v>#REF!</v>
      </c>
      <c r="H13" s="6"/>
      <c r="I13" s="62"/>
      <c r="J13" s="62"/>
      <c r="K13" s="63"/>
      <c r="L13" s="64"/>
    </row>
    <row r="14" spans="1:12" ht="120" customHeight="1" x14ac:dyDescent="0.25">
      <c r="A14" s="10" t="e">
        <f>#REF!</f>
        <v>#REF!</v>
      </c>
      <c r="B14" s="14" t="e">
        <f>#REF!</f>
        <v>#REF!</v>
      </c>
      <c r="C14" s="11" t="e">
        <f>#REF!</f>
        <v>#REF!</v>
      </c>
      <c r="D14" s="10"/>
      <c r="E14" s="453" t="e">
        <f>#REF!</f>
        <v>#REF!</v>
      </c>
      <c r="F14" s="454"/>
      <c r="G14" s="11" t="e">
        <f>#REF!</f>
        <v>#REF!</v>
      </c>
      <c r="H14" s="8"/>
      <c r="I14" s="65"/>
      <c r="J14" s="65"/>
      <c r="K14" s="66"/>
      <c r="L14" s="67"/>
    </row>
    <row r="15" spans="1:12" ht="17.45" customHeight="1" x14ac:dyDescent="0.25">
      <c r="H15" s="12"/>
      <c r="I15" s="12"/>
      <c r="J15" s="12"/>
      <c r="K15" s="19" t="s">
        <v>68</v>
      </c>
      <c r="L15" s="19" t="e">
        <f>#REF!</f>
        <v>#REF!</v>
      </c>
    </row>
  </sheetData>
  <mergeCells count="6">
    <mergeCell ref="I1:J1"/>
    <mergeCell ref="I2:J2"/>
    <mergeCell ref="I3:J3"/>
    <mergeCell ref="E13:F13"/>
    <mergeCell ref="E14:F14"/>
    <mergeCell ref="E12:F12"/>
  </mergeCells>
  <pageMargins left="0.39370078740157483" right="0.39370078740157483" top="0.39370078740157483" bottom="0.39370078740157483" header="0" footer="0"/>
  <pageSetup paperSize="8" scale="66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K29"/>
  <sheetViews>
    <sheetView view="pageBreakPreview" zoomScale="130" zoomScaleNormal="70" zoomScaleSheetLayoutView="130" zoomScalePageLayoutView="40" workbookViewId="0">
      <selection activeCell="A17" sqref="A17"/>
    </sheetView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9" width="9.140625" style="15"/>
    <col min="10" max="10" width="8" style="15" customWidth="1"/>
    <col min="11" max="16384" width="9.140625" style="15"/>
  </cols>
  <sheetData>
    <row r="1" spans="1:9" ht="17.45" customHeight="1" x14ac:dyDescent="0.25">
      <c r="A1" s="2"/>
      <c r="B1" s="3"/>
      <c r="C1" s="4"/>
      <c r="D1" s="540" t="str">
        <f>НазваниеКраткое</f>
        <v>Западные ворота - 2017</v>
      </c>
      <c r="E1" s="541"/>
      <c r="F1" s="21" t="s">
        <v>8</v>
      </c>
      <c r="G1" s="22">
        <f>КВ1Расстояние</f>
        <v>87.18</v>
      </c>
    </row>
    <row r="2" spans="1:9" ht="17.45" customHeight="1" x14ac:dyDescent="0.25">
      <c r="A2" s="5"/>
      <c r="B2" s="6"/>
      <c r="C2" s="7"/>
      <c r="D2" s="540" t="str">
        <f>КВ0</f>
        <v>КВ-0 Старт</v>
      </c>
      <c r="E2" s="541"/>
      <c r="F2" s="21" t="s">
        <v>10</v>
      </c>
      <c r="G2" s="20">
        <f>КВ1Время</f>
        <v>105</v>
      </c>
    </row>
    <row r="3" spans="1:9" ht="17.45" customHeight="1" x14ac:dyDescent="0.25">
      <c r="A3" s="5"/>
      <c r="B3" s="6"/>
      <c r="C3" s="7"/>
      <c r="D3" s="540" t="str">
        <f>КВ1</f>
        <v>КВ-1 Борщевик</v>
      </c>
      <c r="E3" s="541"/>
      <c r="F3" s="21" t="s">
        <v>9</v>
      </c>
      <c r="G3" s="22">
        <f>КВ1Скорость</f>
        <v>49.82</v>
      </c>
    </row>
    <row r="4" spans="1:9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9" ht="120" customHeight="1" x14ac:dyDescent="0.35">
      <c r="A5" s="10">
        <v>1</v>
      </c>
      <c r="B5" s="166">
        <v>0</v>
      </c>
      <c r="C5" s="165">
        <v>0</v>
      </c>
      <c r="D5" s="176"/>
      <c r="E5" s="555" t="str">
        <f>КВ0&amp;CHAR(10)&amp;ДС1&amp;" Старт"&amp;CHAR(10)&amp;"V=50 км/ч"</f>
        <v>КВ-0 Старт
ДС-1 РД Старт
V=50 км/ч</v>
      </c>
      <c r="F5" s="556"/>
      <c r="G5" s="165">
        <f t="shared" ref="G5:G29" si="0">КВ1Расстояние-B5</f>
        <v>87.18</v>
      </c>
    </row>
    <row r="6" spans="1:9" ht="120" customHeight="1" x14ac:dyDescent="0.25">
      <c r="A6" s="10">
        <f>1+A5</f>
        <v>2</v>
      </c>
      <c r="B6" s="166">
        <v>0.09</v>
      </c>
      <c r="C6" s="165">
        <f t="shared" ref="C6:C29" si="1">B6-B5</f>
        <v>0.09</v>
      </c>
      <c r="D6" s="10"/>
      <c r="E6" s="531"/>
      <c r="F6" s="532"/>
      <c r="G6" s="165">
        <f t="shared" si="0"/>
        <v>87.09</v>
      </c>
    </row>
    <row r="7" spans="1:9" ht="120" customHeight="1" x14ac:dyDescent="0.25">
      <c r="A7" s="10">
        <f>1+A6</f>
        <v>3</v>
      </c>
      <c r="B7" s="166">
        <v>0.09</v>
      </c>
      <c r="C7" s="165">
        <f t="shared" si="1"/>
        <v>0</v>
      </c>
      <c r="D7" s="207"/>
      <c r="E7" s="531"/>
      <c r="F7" s="532"/>
      <c r="G7" s="165">
        <f t="shared" si="0"/>
        <v>87.09</v>
      </c>
    </row>
    <row r="8" spans="1:9" ht="120" customHeight="1" x14ac:dyDescent="0.25">
      <c r="A8" s="10">
        <f>1+A7</f>
        <v>4</v>
      </c>
      <c r="B8" s="166">
        <v>4.41</v>
      </c>
      <c r="C8" s="165">
        <f t="shared" si="1"/>
        <v>4.32</v>
      </c>
      <c r="D8" s="207"/>
      <c r="E8" s="531" t="s">
        <v>256</v>
      </c>
      <c r="F8" s="532"/>
      <c r="G8" s="165">
        <f t="shared" si="0"/>
        <v>82.77000000000001</v>
      </c>
    </row>
    <row r="9" spans="1:9" ht="120" customHeight="1" x14ac:dyDescent="0.25">
      <c r="A9" s="10">
        <f t="shared" ref="A9:A29" si="2">1+A8</f>
        <v>5</v>
      </c>
      <c r="B9" s="166">
        <v>5.6</v>
      </c>
      <c r="C9" s="166">
        <f t="shared" si="1"/>
        <v>1.1899999999999995</v>
      </c>
      <c r="D9" s="207"/>
      <c r="E9" s="531"/>
      <c r="F9" s="532"/>
      <c r="G9" s="165">
        <f t="shared" si="0"/>
        <v>81.580000000000013</v>
      </c>
    </row>
    <row r="10" spans="1:9" ht="120" customHeight="1" x14ac:dyDescent="0.25">
      <c r="A10" s="10">
        <f>1+A9</f>
        <v>6</v>
      </c>
      <c r="B10" s="194">
        <v>8.68</v>
      </c>
      <c r="C10" s="194">
        <f>B10-B9</f>
        <v>3.08</v>
      </c>
      <c r="D10" s="10"/>
      <c r="E10" s="531" t="s">
        <v>259</v>
      </c>
      <c r="F10" s="532"/>
      <c r="G10" s="194">
        <f t="shared" si="0"/>
        <v>78.5</v>
      </c>
    </row>
    <row r="11" spans="1:9" ht="120" customHeight="1" x14ac:dyDescent="0.25">
      <c r="A11" s="10">
        <f t="shared" si="2"/>
        <v>7</v>
      </c>
      <c r="B11" s="194">
        <v>8.98</v>
      </c>
      <c r="C11" s="194">
        <f t="shared" si="1"/>
        <v>0.30000000000000071</v>
      </c>
      <c r="D11" s="10"/>
      <c r="E11" s="531"/>
      <c r="F11" s="532"/>
      <c r="G11" s="194">
        <f t="shared" si="0"/>
        <v>78.2</v>
      </c>
    </row>
    <row r="12" spans="1:9" ht="120" customHeight="1" x14ac:dyDescent="0.25">
      <c r="A12" s="10">
        <f t="shared" si="2"/>
        <v>8</v>
      </c>
      <c r="B12" s="194">
        <v>9.32</v>
      </c>
      <c r="C12" s="166">
        <f t="shared" si="1"/>
        <v>0.33999999999999986</v>
      </c>
      <c r="D12" s="176"/>
      <c r="E12" s="531" t="s">
        <v>256</v>
      </c>
      <c r="F12" s="532"/>
      <c r="G12" s="194">
        <f t="shared" si="0"/>
        <v>77.860000000000014</v>
      </c>
    </row>
    <row r="13" spans="1:9" ht="120" customHeight="1" x14ac:dyDescent="0.25">
      <c r="A13" s="10">
        <f t="shared" si="2"/>
        <v>9</v>
      </c>
      <c r="B13" s="166">
        <v>12.4</v>
      </c>
      <c r="C13" s="194">
        <f t="shared" si="1"/>
        <v>3.08</v>
      </c>
      <c r="D13" s="10"/>
      <c r="E13" s="531"/>
      <c r="F13" s="532"/>
      <c r="G13" s="165">
        <f t="shared" si="0"/>
        <v>74.78</v>
      </c>
    </row>
    <row r="14" spans="1:9" ht="120" customHeight="1" x14ac:dyDescent="0.25">
      <c r="A14" s="10">
        <f t="shared" si="2"/>
        <v>10</v>
      </c>
      <c r="B14" s="14">
        <v>14.72</v>
      </c>
      <c r="C14" s="165">
        <f t="shared" si="1"/>
        <v>2.3200000000000003</v>
      </c>
      <c r="D14" s="10"/>
      <c r="E14" s="558" t="s">
        <v>287</v>
      </c>
      <c r="F14" s="559"/>
      <c r="G14" s="165">
        <f t="shared" si="0"/>
        <v>72.460000000000008</v>
      </c>
      <c r="I14" s="86"/>
    </row>
    <row r="15" spans="1:9" ht="120" customHeight="1" x14ac:dyDescent="0.25">
      <c r="A15" s="10">
        <f t="shared" si="2"/>
        <v>11</v>
      </c>
      <c r="B15" s="194">
        <v>17.05</v>
      </c>
      <c r="C15" s="194">
        <f t="shared" si="1"/>
        <v>2.33</v>
      </c>
      <c r="D15" s="10"/>
      <c r="E15" s="558" t="s">
        <v>274</v>
      </c>
      <c r="F15" s="559"/>
      <c r="G15" s="194">
        <f t="shared" si="0"/>
        <v>70.13000000000001</v>
      </c>
      <c r="I15" s="86"/>
    </row>
    <row r="16" spans="1:9" ht="120" customHeight="1" x14ac:dyDescent="0.25">
      <c r="A16" s="10">
        <f t="shared" si="2"/>
        <v>12</v>
      </c>
      <c r="B16" s="194">
        <v>18.32</v>
      </c>
      <c r="C16" s="11">
        <f t="shared" si="1"/>
        <v>1.2699999999999996</v>
      </c>
      <c r="D16" s="10"/>
      <c r="E16" s="531"/>
      <c r="F16" s="532"/>
      <c r="G16" s="194">
        <f t="shared" si="0"/>
        <v>68.860000000000014</v>
      </c>
      <c r="I16" s="86"/>
    </row>
    <row r="17" spans="1:11" ht="120" customHeight="1" x14ac:dyDescent="0.25">
      <c r="A17" s="10">
        <f t="shared" si="2"/>
        <v>13</v>
      </c>
      <c r="B17" s="194">
        <v>19.170000000000002</v>
      </c>
      <c r="C17" s="14">
        <f t="shared" si="1"/>
        <v>0.85000000000000142</v>
      </c>
      <c r="D17" s="10"/>
      <c r="E17" s="531"/>
      <c r="F17" s="532"/>
      <c r="G17" s="194">
        <f t="shared" si="0"/>
        <v>68.010000000000005</v>
      </c>
      <c r="I17" s="86"/>
    </row>
    <row r="18" spans="1:11" ht="120" customHeight="1" x14ac:dyDescent="0.25">
      <c r="A18" s="10">
        <f t="shared" si="2"/>
        <v>14</v>
      </c>
      <c r="B18" s="14">
        <v>48.1</v>
      </c>
      <c r="C18" s="194">
        <f t="shared" si="1"/>
        <v>28.93</v>
      </c>
      <c r="D18" s="10"/>
      <c r="E18" s="558" t="s">
        <v>275</v>
      </c>
      <c r="F18" s="559"/>
      <c r="G18" s="165">
        <f t="shared" si="0"/>
        <v>39.080000000000005</v>
      </c>
      <c r="I18" s="86"/>
      <c r="K18" s="86"/>
    </row>
    <row r="19" spans="1:11" ht="120" customHeight="1" x14ac:dyDescent="0.35">
      <c r="A19" s="10">
        <f t="shared" si="2"/>
        <v>15</v>
      </c>
      <c r="B19" s="14">
        <v>49.43</v>
      </c>
      <c r="C19" s="14">
        <f t="shared" si="1"/>
        <v>1.3299999999999983</v>
      </c>
      <c r="D19" s="10"/>
      <c r="E19" s="555" t="s">
        <v>278</v>
      </c>
      <c r="F19" s="556"/>
      <c r="G19" s="165">
        <f t="shared" si="0"/>
        <v>37.750000000000007</v>
      </c>
      <c r="I19" s="86"/>
      <c r="K19" s="86"/>
    </row>
    <row r="20" spans="1:11" ht="120" customHeight="1" x14ac:dyDescent="0.25">
      <c r="A20" s="10">
        <f t="shared" si="2"/>
        <v>16</v>
      </c>
      <c r="B20" s="166">
        <v>56.589999999999996</v>
      </c>
      <c r="C20" s="14">
        <f t="shared" si="1"/>
        <v>7.1599999999999966</v>
      </c>
      <c r="E20" s="531"/>
      <c r="F20" s="532"/>
      <c r="G20" s="165">
        <f t="shared" si="0"/>
        <v>30.590000000000011</v>
      </c>
      <c r="I20" s="86"/>
      <c r="K20" s="86"/>
    </row>
    <row r="21" spans="1:11" ht="120" customHeight="1" x14ac:dyDescent="0.25">
      <c r="A21" s="10">
        <f t="shared" si="2"/>
        <v>17</v>
      </c>
      <c r="B21" s="166">
        <v>58.93</v>
      </c>
      <c r="C21" s="14">
        <f t="shared" si="1"/>
        <v>2.3400000000000034</v>
      </c>
      <c r="D21" s="176"/>
      <c r="E21" s="531"/>
      <c r="F21" s="532"/>
      <c r="G21" s="165">
        <f t="shared" si="0"/>
        <v>28.250000000000007</v>
      </c>
      <c r="I21" s="86"/>
      <c r="K21" s="86"/>
    </row>
    <row r="22" spans="1:11" ht="120" customHeight="1" x14ac:dyDescent="0.35">
      <c r="A22" s="10">
        <f t="shared" si="2"/>
        <v>18</v>
      </c>
      <c r="B22" s="166">
        <v>59.76</v>
      </c>
      <c r="C22" s="11">
        <f t="shared" si="1"/>
        <v>0.82999999999999829</v>
      </c>
      <c r="D22" s="176"/>
      <c r="E22" s="555" t="str">
        <f>ДС2&amp;" Старт"&amp;CHAR(10)&amp;"Норма времени "&amp;ДС2Время&amp;"''"</f>
        <v>ДС-2 РУ Старт
Норма времени 570''</v>
      </c>
      <c r="F22" s="556"/>
      <c r="G22" s="165">
        <f t="shared" si="0"/>
        <v>27.420000000000009</v>
      </c>
      <c r="I22" s="86"/>
      <c r="K22" s="86"/>
    </row>
    <row r="23" spans="1:11" ht="120" customHeight="1" x14ac:dyDescent="0.25">
      <c r="A23" s="10">
        <f t="shared" si="2"/>
        <v>19</v>
      </c>
      <c r="B23" s="14">
        <v>64.44</v>
      </c>
      <c r="C23" s="11">
        <f t="shared" si="1"/>
        <v>4.68</v>
      </c>
      <c r="D23" s="176"/>
      <c r="E23" s="712" t="s">
        <v>288</v>
      </c>
      <c r="F23" s="713"/>
      <c r="G23" s="165">
        <f t="shared" si="0"/>
        <v>22.740000000000009</v>
      </c>
      <c r="I23" s="86"/>
    </row>
    <row r="24" spans="1:11" ht="120" customHeight="1" x14ac:dyDescent="0.35">
      <c r="A24" s="10">
        <f t="shared" si="2"/>
        <v>20</v>
      </c>
      <c r="B24" s="14">
        <v>68.73</v>
      </c>
      <c r="C24" s="11">
        <f t="shared" si="1"/>
        <v>4.2900000000000063</v>
      </c>
      <c r="D24" s="176"/>
      <c r="E24" s="555" t="str">
        <f>ДС2&amp;" Финиш !!!БЕСКОНТАКТНЫЙ!!!"</f>
        <v>ДС-2 РУ Финиш !!!БЕСКОНТАКТНЫЙ!!!</v>
      </c>
      <c r="F24" s="556"/>
      <c r="G24" s="165">
        <f t="shared" si="0"/>
        <v>18.450000000000003</v>
      </c>
      <c r="I24" s="86"/>
    </row>
    <row r="25" spans="1:11" ht="120" customHeight="1" x14ac:dyDescent="0.25">
      <c r="A25" s="10">
        <f t="shared" si="2"/>
        <v>21</v>
      </c>
      <c r="B25" s="177">
        <v>71.14</v>
      </c>
      <c r="C25" s="166">
        <f t="shared" si="1"/>
        <v>2.4099999999999966</v>
      </c>
      <c r="D25" s="10"/>
      <c r="E25" s="708"/>
      <c r="F25" s="709"/>
      <c r="G25" s="165">
        <f t="shared" si="0"/>
        <v>16.040000000000006</v>
      </c>
      <c r="I25" s="86"/>
    </row>
    <row r="26" spans="1:11" ht="120" customHeight="1" x14ac:dyDescent="0.25">
      <c r="A26" s="10">
        <f t="shared" si="2"/>
        <v>22</v>
      </c>
      <c r="B26" s="166">
        <v>72.44</v>
      </c>
      <c r="C26" s="166">
        <f t="shared" si="1"/>
        <v>1.2999999999999972</v>
      </c>
      <c r="D26" s="10"/>
      <c r="E26" s="710"/>
      <c r="F26" s="711"/>
      <c r="G26" s="165">
        <f t="shared" si="0"/>
        <v>14.740000000000009</v>
      </c>
      <c r="I26" s="86"/>
    </row>
    <row r="27" spans="1:11" ht="120" customHeight="1" x14ac:dyDescent="0.25">
      <c r="A27" s="10">
        <f t="shared" si="2"/>
        <v>23</v>
      </c>
      <c r="B27" s="194">
        <v>73.570000000000007</v>
      </c>
      <c r="C27" s="194">
        <f t="shared" si="1"/>
        <v>1.1300000000000097</v>
      </c>
      <c r="D27" s="10"/>
      <c r="E27" s="531"/>
      <c r="F27" s="532"/>
      <c r="G27" s="194">
        <f t="shared" si="0"/>
        <v>13.61</v>
      </c>
      <c r="I27" s="86"/>
    </row>
    <row r="28" spans="1:11" ht="120" customHeight="1" x14ac:dyDescent="0.25">
      <c r="A28" s="10">
        <f t="shared" si="2"/>
        <v>24</v>
      </c>
      <c r="B28" s="194">
        <v>73.820000000000007</v>
      </c>
      <c r="C28" s="166">
        <f t="shared" si="1"/>
        <v>0.25</v>
      </c>
      <c r="D28" s="10"/>
      <c r="E28" s="531"/>
      <c r="F28" s="711"/>
      <c r="G28" s="194">
        <f t="shared" si="0"/>
        <v>13.36</v>
      </c>
      <c r="I28" s="86"/>
    </row>
    <row r="29" spans="1:11" ht="120" customHeight="1" x14ac:dyDescent="0.35">
      <c r="A29" s="10">
        <f t="shared" si="2"/>
        <v>25</v>
      </c>
      <c r="B29" s="166">
        <v>75.27</v>
      </c>
      <c r="C29" s="166">
        <f t="shared" si="1"/>
        <v>1.4499999999999886</v>
      </c>
      <c r="D29" s="176"/>
      <c r="E29" s="555" t="str">
        <f>"Синее здание с красной крышей"&amp;CHAR(10)&amp;КВ1</f>
        <v>Синее здание с красной крышей
КВ-1 Борщевик</v>
      </c>
      <c r="F29" s="556"/>
      <c r="G29" s="165">
        <f t="shared" si="0"/>
        <v>11.910000000000011</v>
      </c>
      <c r="I29" s="86"/>
    </row>
  </sheetData>
  <mergeCells count="29">
    <mergeCell ref="E12:F12"/>
    <mergeCell ref="D1:E1"/>
    <mergeCell ref="D2:E2"/>
    <mergeCell ref="D3:E3"/>
    <mergeCell ref="E4:F4"/>
    <mergeCell ref="E5:F5"/>
    <mergeCell ref="E6:F6"/>
    <mergeCell ref="E7:F7"/>
    <mergeCell ref="E8:F8"/>
    <mergeCell ref="E9:F9"/>
    <mergeCell ref="E10:F10"/>
    <mergeCell ref="E11:F11"/>
    <mergeCell ref="E24:F24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5:F25"/>
    <mergeCell ref="E26:F26"/>
    <mergeCell ref="E27:F27"/>
    <mergeCell ref="E28:F28"/>
    <mergeCell ref="E29:F29"/>
  </mergeCells>
  <pageMargins left="0.39370078740157483" right="0.39370078740157483" top="0.39370078740157483" bottom="0.39370078740157483" header="0" footer="0"/>
  <pageSetup paperSize="9" firstPageNumber="3" orientation="portrait" verticalDpi="200" r:id="rId1"/>
  <headerFooter differentFirst="1">
    <oddFooter>Страница 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J31"/>
  <sheetViews>
    <sheetView view="pageBreakPreview" zoomScaleNormal="70" zoomScaleSheetLayoutView="100" zoomScalePageLayoutView="40" workbookViewId="0"/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9" width="9.140625" style="15"/>
    <col min="10" max="10" width="8" style="15" customWidth="1"/>
    <col min="11" max="16384" width="9.140625" style="15"/>
  </cols>
  <sheetData>
    <row r="1" spans="1:7" ht="17.45" customHeight="1" x14ac:dyDescent="0.25">
      <c r="A1" s="2"/>
      <c r="B1" s="3"/>
      <c r="C1" s="4"/>
      <c r="D1" s="540" t="str">
        <f>НазваниеКраткое</f>
        <v>Западные ворота - 2017</v>
      </c>
      <c r="E1" s="541"/>
      <c r="F1" s="21" t="s">
        <v>8</v>
      </c>
      <c r="G1" s="22">
        <f>КВ3Расстояние</f>
        <v>83.69</v>
      </c>
    </row>
    <row r="2" spans="1:7" ht="17.45" customHeight="1" x14ac:dyDescent="0.25">
      <c r="A2" s="5"/>
      <c r="B2" s="6"/>
      <c r="C2" s="7"/>
      <c r="D2" s="540" t="str">
        <f>КВ2</f>
        <v>КВ-2 ПКАД</v>
      </c>
      <c r="E2" s="541"/>
      <c r="F2" s="21" t="s">
        <v>10</v>
      </c>
      <c r="G2" s="20">
        <f>КВ3Время</f>
        <v>95</v>
      </c>
    </row>
    <row r="3" spans="1:7" ht="17.45" customHeight="1" x14ac:dyDescent="0.25">
      <c r="A3" s="5"/>
      <c r="B3" s="6"/>
      <c r="C3" s="7"/>
      <c r="D3" s="540" t="str">
        <f>КВ3</f>
        <v>КВ-3 Финиш</v>
      </c>
      <c r="E3" s="541"/>
      <c r="F3" s="21" t="s">
        <v>9</v>
      </c>
      <c r="G3" s="22">
        <f>КВ3Скорость</f>
        <v>52.86</v>
      </c>
    </row>
    <row r="4" spans="1:7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7" ht="120" customHeight="1" x14ac:dyDescent="0.35">
      <c r="A5" s="10">
        <v>1</v>
      </c>
      <c r="B5" s="14">
        <v>0</v>
      </c>
      <c r="C5" s="11">
        <v>0</v>
      </c>
      <c r="D5" s="10"/>
      <c r="E5" s="555" t="str">
        <f>КВ2&amp;CHAR(10)&amp;ДС5&amp;" Старт"&amp;CHAR(10)&amp;"V=ПДД, но не &gt;40 км/ч"</f>
        <v>КВ-2 ПКАД
ДС-5 РД Старт
V=ПДД, но не &gt;40 км/ч</v>
      </c>
      <c r="F5" s="556"/>
      <c r="G5" s="11">
        <f t="shared" ref="G5:G30" si="0">КВ3Расстояние-B5</f>
        <v>83.69</v>
      </c>
    </row>
    <row r="6" spans="1:7" ht="120" customHeight="1" x14ac:dyDescent="0.25">
      <c r="A6" s="10">
        <f t="shared" ref="A6:A30" si="1">1+A5</f>
        <v>2</v>
      </c>
      <c r="B6" s="14">
        <v>0.18</v>
      </c>
      <c r="C6" s="166">
        <f t="shared" ref="C6:C30" si="2">B6-B5</f>
        <v>0.18</v>
      </c>
      <c r="D6" s="176"/>
      <c r="E6" s="558" t="s">
        <v>286</v>
      </c>
      <c r="F6" s="559"/>
      <c r="G6" s="11">
        <f t="shared" si="0"/>
        <v>83.509999999999991</v>
      </c>
    </row>
    <row r="7" spans="1:7" ht="120" customHeight="1" x14ac:dyDescent="0.25">
      <c r="A7" s="10">
        <f t="shared" si="1"/>
        <v>3</v>
      </c>
      <c r="B7" s="194">
        <v>1.67</v>
      </c>
      <c r="C7" s="194">
        <f t="shared" si="2"/>
        <v>1.49</v>
      </c>
      <c r="D7" s="176"/>
      <c r="E7" s="558"/>
      <c r="F7" s="559"/>
      <c r="G7" s="194">
        <f t="shared" si="0"/>
        <v>82.02</v>
      </c>
    </row>
    <row r="8" spans="1:7" ht="120" customHeight="1" x14ac:dyDescent="0.25">
      <c r="A8" s="10">
        <f t="shared" si="1"/>
        <v>4</v>
      </c>
      <c r="B8" s="194">
        <v>3.52</v>
      </c>
      <c r="C8" s="166">
        <f t="shared" si="2"/>
        <v>1.85</v>
      </c>
      <c r="D8" s="176"/>
      <c r="E8" s="558"/>
      <c r="F8" s="559"/>
      <c r="G8" s="194">
        <f t="shared" si="0"/>
        <v>80.17</v>
      </c>
    </row>
    <row r="9" spans="1:7" ht="120" customHeight="1" x14ac:dyDescent="0.25">
      <c r="A9" s="10">
        <f t="shared" si="1"/>
        <v>5</v>
      </c>
      <c r="B9" s="14">
        <v>3.63</v>
      </c>
      <c r="C9" s="194">
        <f t="shared" si="2"/>
        <v>0.10999999999999988</v>
      </c>
      <c r="D9" s="176"/>
      <c r="E9" s="558"/>
      <c r="F9" s="559"/>
      <c r="G9" s="11">
        <f t="shared" si="0"/>
        <v>80.06</v>
      </c>
    </row>
    <row r="10" spans="1:7" ht="120" customHeight="1" x14ac:dyDescent="0.25">
      <c r="A10" s="10">
        <f t="shared" si="1"/>
        <v>6</v>
      </c>
      <c r="B10" s="14">
        <v>4.2300000000000004</v>
      </c>
      <c r="C10" s="166">
        <f t="shared" si="2"/>
        <v>0.60000000000000053</v>
      </c>
      <c r="D10" s="176"/>
      <c r="E10" s="558"/>
      <c r="F10" s="559"/>
      <c r="G10" s="14">
        <f t="shared" si="0"/>
        <v>79.459999999999994</v>
      </c>
    </row>
    <row r="11" spans="1:7" ht="120" customHeight="1" x14ac:dyDescent="0.25">
      <c r="A11" s="10">
        <f t="shared" si="1"/>
        <v>7</v>
      </c>
      <c r="B11" s="14">
        <v>5.23</v>
      </c>
      <c r="C11" s="166">
        <f t="shared" si="2"/>
        <v>1</v>
      </c>
      <c r="D11" s="176"/>
      <c r="E11" s="558"/>
      <c r="F11" s="559"/>
      <c r="G11" s="14">
        <f t="shared" si="0"/>
        <v>78.459999999999994</v>
      </c>
    </row>
    <row r="12" spans="1:7" ht="120" customHeight="1" x14ac:dyDescent="0.25">
      <c r="A12" s="10">
        <f t="shared" si="1"/>
        <v>8</v>
      </c>
      <c r="B12" s="14">
        <v>5.29</v>
      </c>
      <c r="C12" s="14">
        <f t="shared" si="2"/>
        <v>5.9999999999999609E-2</v>
      </c>
      <c r="D12" s="176"/>
      <c r="E12" s="558"/>
      <c r="F12" s="559"/>
      <c r="G12" s="14">
        <f t="shared" si="0"/>
        <v>78.399999999999991</v>
      </c>
    </row>
    <row r="13" spans="1:7" ht="120" customHeight="1" x14ac:dyDescent="0.35">
      <c r="A13" s="10">
        <f t="shared" si="1"/>
        <v>9</v>
      </c>
      <c r="B13" s="14">
        <v>5.82</v>
      </c>
      <c r="C13" s="14">
        <f t="shared" si="2"/>
        <v>0.53000000000000025</v>
      </c>
      <c r="D13" s="176"/>
      <c r="E13" s="533" t="s">
        <v>266</v>
      </c>
      <c r="F13" s="534"/>
      <c r="G13" s="14">
        <f t="shared" si="0"/>
        <v>77.87</v>
      </c>
    </row>
    <row r="14" spans="1:7" ht="120" customHeight="1" x14ac:dyDescent="0.25">
      <c r="A14" s="192"/>
      <c r="B14" s="178"/>
      <c r="C14" s="178"/>
      <c r="D14" s="179"/>
      <c r="E14" s="561"/>
      <c r="F14" s="561"/>
      <c r="G14" s="201"/>
    </row>
    <row r="15" spans="1:7" ht="120" customHeight="1" x14ac:dyDescent="0.25">
      <c r="A15" s="13"/>
      <c r="B15" s="181"/>
      <c r="C15" s="181"/>
      <c r="D15" s="182"/>
      <c r="E15" s="539"/>
      <c r="F15" s="539"/>
      <c r="G15" s="202"/>
    </row>
    <row r="16" spans="1:7" ht="120" customHeight="1" x14ac:dyDescent="0.25">
      <c r="A16" s="13"/>
      <c r="B16" s="181"/>
      <c r="C16" s="181"/>
      <c r="D16" s="182"/>
      <c r="E16" s="539"/>
      <c r="F16" s="539"/>
      <c r="G16" s="202"/>
    </row>
    <row r="17" spans="1:10" ht="120" customHeight="1" x14ac:dyDescent="0.25">
      <c r="A17" s="13"/>
      <c r="B17" s="181"/>
      <c r="C17" s="181"/>
      <c r="D17" s="182"/>
      <c r="E17" s="539"/>
      <c r="F17" s="539"/>
      <c r="G17" s="202"/>
      <c r="J17" s="86"/>
    </row>
    <row r="18" spans="1:10" ht="120" customHeight="1" x14ac:dyDescent="0.25">
      <c r="A18" s="13"/>
      <c r="B18" s="181"/>
      <c r="C18" s="181"/>
      <c r="D18" s="182"/>
      <c r="E18" s="539"/>
      <c r="F18" s="539"/>
      <c r="G18" s="202"/>
      <c r="J18" s="86"/>
    </row>
    <row r="19" spans="1:10" ht="120" customHeight="1" x14ac:dyDescent="0.25">
      <c r="A19" s="193"/>
      <c r="B19" s="183"/>
      <c r="C19" s="183"/>
      <c r="D19" s="184"/>
      <c r="E19" s="562"/>
      <c r="F19" s="562"/>
      <c r="G19" s="203"/>
      <c r="J19" s="86"/>
    </row>
    <row r="20" spans="1:10" ht="120" customHeight="1" x14ac:dyDescent="0.35">
      <c r="A20" s="10">
        <f>1+A13</f>
        <v>10</v>
      </c>
      <c r="B20" s="194">
        <v>64.89</v>
      </c>
      <c r="C20" s="14"/>
      <c r="D20" s="176"/>
      <c r="E20" s="533"/>
      <c r="F20" s="534"/>
      <c r="G20" s="194">
        <f t="shared" si="0"/>
        <v>18.799999999999997</v>
      </c>
      <c r="J20" s="86"/>
    </row>
    <row r="21" spans="1:10" ht="120" customHeight="1" x14ac:dyDescent="0.35">
      <c r="A21" s="10">
        <f t="shared" si="1"/>
        <v>11</v>
      </c>
      <c r="B21" s="14">
        <v>65.95</v>
      </c>
      <c r="C21" s="194">
        <f t="shared" si="2"/>
        <v>1.0600000000000023</v>
      </c>
      <c r="D21" s="176"/>
      <c r="E21" s="533"/>
      <c r="F21" s="534"/>
      <c r="G21" s="14">
        <f t="shared" si="0"/>
        <v>17.739999999999995</v>
      </c>
      <c r="J21" s="86"/>
    </row>
    <row r="22" spans="1:10" ht="120" customHeight="1" x14ac:dyDescent="0.25">
      <c r="A22" s="10">
        <f t="shared" si="1"/>
        <v>12</v>
      </c>
      <c r="B22" s="14">
        <v>66.25</v>
      </c>
      <c r="C22" s="14">
        <f t="shared" si="2"/>
        <v>0.29999999999999716</v>
      </c>
      <c r="D22" s="176"/>
      <c r="E22" s="558"/>
      <c r="F22" s="559"/>
      <c r="G22" s="14">
        <f t="shared" si="0"/>
        <v>17.439999999999998</v>
      </c>
      <c r="J22" s="86"/>
    </row>
    <row r="23" spans="1:10" ht="120" customHeight="1" x14ac:dyDescent="0.25">
      <c r="A23" s="10">
        <f t="shared" si="1"/>
        <v>13</v>
      </c>
      <c r="B23" s="14">
        <v>66.91</v>
      </c>
      <c r="C23" s="14">
        <f t="shared" si="2"/>
        <v>0.65999999999999659</v>
      </c>
      <c r="D23" s="176"/>
      <c r="E23" s="558"/>
      <c r="F23" s="559"/>
      <c r="G23" s="14">
        <f t="shared" si="0"/>
        <v>16.78</v>
      </c>
      <c r="J23" s="86"/>
    </row>
    <row r="24" spans="1:10" ht="120" customHeight="1" x14ac:dyDescent="0.25">
      <c r="A24" s="10">
        <f t="shared" si="1"/>
        <v>14</v>
      </c>
      <c r="B24" s="14">
        <v>67.59</v>
      </c>
      <c r="C24" s="14">
        <f t="shared" si="2"/>
        <v>0.68000000000000682</v>
      </c>
      <c r="D24" s="176"/>
      <c r="E24" s="558"/>
      <c r="F24" s="559"/>
      <c r="G24" s="14">
        <f t="shared" si="0"/>
        <v>16.099999999999994</v>
      </c>
      <c r="J24" s="86"/>
    </row>
    <row r="25" spans="1:10" ht="120" customHeight="1" x14ac:dyDescent="0.25">
      <c r="A25" s="10">
        <f t="shared" si="1"/>
        <v>15</v>
      </c>
      <c r="B25" s="14">
        <v>68.569999999999993</v>
      </c>
      <c r="C25" s="14">
        <f t="shared" si="2"/>
        <v>0.97999999999998977</v>
      </c>
      <c r="D25" s="176"/>
      <c r="E25" s="558"/>
      <c r="F25" s="559"/>
      <c r="G25" s="14">
        <f t="shared" si="0"/>
        <v>15.120000000000005</v>
      </c>
      <c r="J25" s="86"/>
    </row>
    <row r="26" spans="1:10" ht="120" customHeight="1" x14ac:dyDescent="0.25">
      <c r="A26" s="10">
        <f t="shared" si="1"/>
        <v>16</v>
      </c>
      <c r="B26" s="14">
        <v>70.09</v>
      </c>
      <c r="C26" s="14">
        <f t="shared" si="2"/>
        <v>1.5200000000000102</v>
      </c>
      <c r="D26" s="176"/>
      <c r="E26" s="558"/>
      <c r="F26" s="559"/>
      <c r="G26" s="14">
        <f t="shared" si="0"/>
        <v>13.599999999999994</v>
      </c>
      <c r="J26" s="86"/>
    </row>
    <row r="27" spans="1:10" ht="120" customHeight="1" x14ac:dyDescent="0.25">
      <c r="A27" s="10">
        <f t="shared" si="1"/>
        <v>17</v>
      </c>
      <c r="B27" s="14">
        <v>71.66</v>
      </c>
      <c r="C27" s="14">
        <f t="shared" si="2"/>
        <v>1.5699999999999932</v>
      </c>
      <c r="D27" s="176"/>
      <c r="E27" s="558"/>
      <c r="F27" s="559"/>
      <c r="G27" s="14">
        <f t="shared" si="0"/>
        <v>12.030000000000001</v>
      </c>
      <c r="I27" s="86"/>
      <c r="J27" s="86"/>
    </row>
    <row r="28" spans="1:10" ht="120" customHeight="1" x14ac:dyDescent="0.25">
      <c r="A28" s="10">
        <f t="shared" si="1"/>
        <v>18</v>
      </c>
      <c r="B28" s="14">
        <v>72.16</v>
      </c>
      <c r="C28" s="14">
        <f t="shared" si="2"/>
        <v>0.5</v>
      </c>
      <c r="D28" s="176"/>
      <c r="E28" s="558"/>
      <c r="F28" s="559"/>
      <c r="G28" s="14">
        <f t="shared" si="0"/>
        <v>11.530000000000001</v>
      </c>
      <c r="I28" s="86"/>
      <c r="J28" s="86"/>
    </row>
    <row r="29" spans="1:10" ht="120" customHeight="1" x14ac:dyDescent="0.25">
      <c r="A29" s="10">
        <f t="shared" si="1"/>
        <v>19</v>
      </c>
      <c r="B29" s="14">
        <v>73.260000000000005</v>
      </c>
      <c r="C29" s="14">
        <f t="shared" si="2"/>
        <v>1.1000000000000085</v>
      </c>
      <c r="D29" s="176"/>
      <c r="E29" s="558"/>
      <c r="F29" s="559"/>
      <c r="G29" s="14">
        <f t="shared" si="0"/>
        <v>10.429999999999993</v>
      </c>
      <c r="I29" s="86"/>
      <c r="J29" s="86"/>
    </row>
    <row r="30" spans="1:10" ht="120" customHeight="1" x14ac:dyDescent="0.35">
      <c r="A30" s="10">
        <f t="shared" si="1"/>
        <v>20</v>
      </c>
      <c r="B30" s="14">
        <v>73.47</v>
      </c>
      <c r="C30" s="14">
        <f t="shared" si="2"/>
        <v>0.20999999999999375</v>
      </c>
      <c r="D30" s="176"/>
      <c r="E30" s="555" t="str">
        <f>КВ3</f>
        <v>КВ-3 Финиш</v>
      </c>
      <c r="F30" s="556"/>
      <c r="G30" s="14">
        <f t="shared" si="0"/>
        <v>10.219999999999999</v>
      </c>
      <c r="I30" s="86"/>
      <c r="J30" s="86"/>
    </row>
    <row r="31" spans="1:10" ht="120" customHeight="1" x14ac:dyDescent="0.25">
      <c r="A31" s="714" t="str">
        <f>"Далее - "&amp;ДС6&amp;" в картинг-клубе. Результаты в ТЦ Мануфактура на 3-м этаже"</f>
        <v>Далее - ДС-6 СЛ в картинг-клубе. Результаты в ТЦ Мануфактура на 3-м этаже</v>
      </c>
      <c r="B31" s="715"/>
      <c r="C31" s="715"/>
      <c r="D31" s="715"/>
      <c r="E31" s="715"/>
      <c r="F31" s="715"/>
      <c r="G31" s="716"/>
      <c r="J31" s="86"/>
    </row>
  </sheetData>
  <mergeCells count="31">
    <mergeCell ref="A31:G31"/>
    <mergeCell ref="E25:F25"/>
    <mergeCell ref="E26:F26"/>
    <mergeCell ref="E27:F27"/>
    <mergeCell ref="E28:F28"/>
    <mergeCell ref="E29:F29"/>
    <mergeCell ref="E30:F30"/>
    <mergeCell ref="E24:F24"/>
    <mergeCell ref="E13:F13"/>
    <mergeCell ref="E14:F14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12:F12"/>
    <mergeCell ref="D1:E1"/>
    <mergeCell ref="D2:E2"/>
    <mergeCell ref="D3:E3"/>
    <mergeCell ref="E4:F4"/>
    <mergeCell ref="E5:F5"/>
    <mergeCell ref="E6:F6"/>
    <mergeCell ref="E7:F7"/>
    <mergeCell ref="E8:F8"/>
    <mergeCell ref="E9:F9"/>
    <mergeCell ref="E10:F10"/>
    <mergeCell ref="E11:F11"/>
  </mergeCells>
  <pageMargins left="0.39370078740157483" right="0.39370078740157483" top="0.39370078740157483" bottom="0.39370078740157483" header="0" footer="0"/>
  <pageSetup paperSize="9" firstPageNumber="3" orientation="portrait" verticalDpi="200" r:id="rId1"/>
  <headerFooter differentFirst="1">
    <oddFooter>Страница &amp;P</oddFooter>
  </headerFooter>
  <rowBreaks count="1" manualBreakCount="1">
    <brk id="1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L31"/>
  <sheetViews>
    <sheetView view="pageBreakPreview" zoomScaleNormal="85" zoomScaleSheetLayoutView="100" workbookViewId="0"/>
  </sheetViews>
  <sheetFormatPr defaultRowHeight="15" x14ac:dyDescent="0.25"/>
  <cols>
    <col min="1" max="2" width="9.7109375" style="15" customWidth="1"/>
    <col min="3" max="3" width="6.7109375" style="15" customWidth="1"/>
    <col min="4" max="10" width="9.7109375" style="15" customWidth="1"/>
    <col min="11" max="248" width="9.140625" style="15"/>
    <col min="249" max="249" width="18.5703125" style="15" customWidth="1"/>
    <col min="250" max="504" width="9.140625" style="15"/>
    <col min="505" max="505" width="18.5703125" style="15" customWidth="1"/>
    <col min="506" max="760" width="9.140625" style="15"/>
    <col min="761" max="761" width="18.5703125" style="15" customWidth="1"/>
    <col min="762" max="1016" width="9.140625" style="15"/>
    <col min="1017" max="1017" width="18.5703125" style="15" customWidth="1"/>
    <col min="1018" max="1272" width="9.140625" style="15"/>
    <col min="1273" max="1273" width="18.5703125" style="15" customWidth="1"/>
    <col min="1274" max="1528" width="9.140625" style="15"/>
    <col min="1529" max="1529" width="18.5703125" style="15" customWidth="1"/>
    <col min="1530" max="1784" width="9.140625" style="15"/>
    <col min="1785" max="1785" width="18.5703125" style="15" customWidth="1"/>
    <col min="1786" max="2040" width="9.140625" style="15"/>
    <col min="2041" max="2041" width="18.5703125" style="15" customWidth="1"/>
    <col min="2042" max="2296" width="9.140625" style="15"/>
    <col min="2297" max="2297" width="18.5703125" style="15" customWidth="1"/>
    <col min="2298" max="2552" width="9.140625" style="15"/>
    <col min="2553" max="2553" width="18.5703125" style="15" customWidth="1"/>
    <col min="2554" max="2808" width="9.140625" style="15"/>
    <col min="2809" max="2809" width="18.5703125" style="15" customWidth="1"/>
    <col min="2810" max="3064" width="9.140625" style="15"/>
    <col min="3065" max="3065" width="18.5703125" style="15" customWidth="1"/>
    <col min="3066" max="3320" width="9.140625" style="15"/>
    <col min="3321" max="3321" width="18.5703125" style="15" customWidth="1"/>
    <col min="3322" max="3576" width="9.140625" style="15"/>
    <col min="3577" max="3577" width="18.5703125" style="15" customWidth="1"/>
    <col min="3578" max="3832" width="9.140625" style="15"/>
    <col min="3833" max="3833" width="18.5703125" style="15" customWidth="1"/>
    <col min="3834" max="4088" width="9.140625" style="15"/>
    <col min="4089" max="4089" width="18.5703125" style="15" customWidth="1"/>
    <col min="4090" max="4344" width="9.140625" style="15"/>
    <col min="4345" max="4345" width="18.5703125" style="15" customWidth="1"/>
    <col min="4346" max="4600" width="9.140625" style="15"/>
    <col min="4601" max="4601" width="18.5703125" style="15" customWidth="1"/>
    <col min="4602" max="4856" width="9.140625" style="15"/>
    <col min="4857" max="4857" width="18.5703125" style="15" customWidth="1"/>
    <col min="4858" max="5112" width="9.140625" style="15"/>
    <col min="5113" max="5113" width="18.5703125" style="15" customWidth="1"/>
    <col min="5114" max="5368" width="9.140625" style="15"/>
    <col min="5369" max="5369" width="18.5703125" style="15" customWidth="1"/>
    <col min="5370" max="5624" width="9.140625" style="15"/>
    <col min="5625" max="5625" width="18.5703125" style="15" customWidth="1"/>
    <col min="5626" max="5880" width="9.140625" style="15"/>
    <col min="5881" max="5881" width="18.5703125" style="15" customWidth="1"/>
    <col min="5882" max="6136" width="9.140625" style="15"/>
    <col min="6137" max="6137" width="18.5703125" style="15" customWidth="1"/>
    <col min="6138" max="6392" width="9.140625" style="15"/>
    <col min="6393" max="6393" width="18.5703125" style="15" customWidth="1"/>
    <col min="6394" max="6648" width="9.140625" style="15"/>
    <col min="6649" max="6649" width="18.5703125" style="15" customWidth="1"/>
    <col min="6650" max="6904" width="9.140625" style="15"/>
    <col min="6905" max="6905" width="18.5703125" style="15" customWidth="1"/>
    <col min="6906" max="7160" width="9.140625" style="15"/>
    <col min="7161" max="7161" width="18.5703125" style="15" customWidth="1"/>
    <col min="7162" max="7416" width="9.140625" style="15"/>
    <col min="7417" max="7417" width="18.5703125" style="15" customWidth="1"/>
    <col min="7418" max="7672" width="9.140625" style="15"/>
    <col min="7673" max="7673" width="18.5703125" style="15" customWidth="1"/>
    <col min="7674" max="7928" width="9.140625" style="15"/>
    <col min="7929" max="7929" width="18.5703125" style="15" customWidth="1"/>
    <col min="7930" max="8184" width="9.140625" style="15"/>
    <col min="8185" max="8185" width="18.5703125" style="15" customWidth="1"/>
    <col min="8186" max="8440" width="9.140625" style="15"/>
    <col min="8441" max="8441" width="18.5703125" style="15" customWidth="1"/>
    <col min="8442" max="8696" width="9.140625" style="15"/>
    <col min="8697" max="8697" width="18.5703125" style="15" customWidth="1"/>
    <col min="8698" max="8952" width="9.140625" style="15"/>
    <col min="8953" max="8953" width="18.5703125" style="15" customWidth="1"/>
    <col min="8954" max="9208" width="9.140625" style="15"/>
    <col min="9209" max="9209" width="18.5703125" style="15" customWidth="1"/>
    <col min="9210" max="9464" width="9.140625" style="15"/>
    <col min="9465" max="9465" width="18.5703125" style="15" customWidth="1"/>
    <col min="9466" max="9720" width="9.140625" style="15"/>
    <col min="9721" max="9721" width="18.5703125" style="15" customWidth="1"/>
    <col min="9722" max="9976" width="9.140625" style="15"/>
    <col min="9977" max="9977" width="18.5703125" style="15" customWidth="1"/>
    <col min="9978" max="10232" width="9.140625" style="15"/>
    <col min="10233" max="10233" width="18.5703125" style="15" customWidth="1"/>
    <col min="10234" max="10488" width="9.140625" style="15"/>
    <col min="10489" max="10489" width="18.5703125" style="15" customWidth="1"/>
    <col min="10490" max="10744" width="9.140625" style="15"/>
    <col min="10745" max="10745" width="18.5703125" style="15" customWidth="1"/>
    <col min="10746" max="11000" width="9.140625" style="15"/>
    <col min="11001" max="11001" width="18.5703125" style="15" customWidth="1"/>
    <col min="11002" max="11256" width="9.140625" style="15"/>
    <col min="11257" max="11257" width="18.5703125" style="15" customWidth="1"/>
    <col min="11258" max="11512" width="9.140625" style="15"/>
    <col min="11513" max="11513" width="18.5703125" style="15" customWidth="1"/>
    <col min="11514" max="11768" width="9.140625" style="15"/>
    <col min="11769" max="11769" width="18.5703125" style="15" customWidth="1"/>
    <col min="11770" max="12024" width="9.140625" style="15"/>
    <col min="12025" max="12025" width="18.5703125" style="15" customWidth="1"/>
    <col min="12026" max="12280" width="9.140625" style="15"/>
    <col min="12281" max="12281" width="18.5703125" style="15" customWidth="1"/>
    <col min="12282" max="12536" width="9.140625" style="15"/>
    <col min="12537" max="12537" width="18.5703125" style="15" customWidth="1"/>
    <col min="12538" max="12792" width="9.140625" style="15"/>
    <col min="12793" max="12793" width="18.5703125" style="15" customWidth="1"/>
    <col min="12794" max="13048" width="9.140625" style="15"/>
    <col min="13049" max="13049" width="18.5703125" style="15" customWidth="1"/>
    <col min="13050" max="13304" width="9.140625" style="15"/>
    <col min="13305" max="13305" width="18.5703125" style="15" customWidth="1"/>
    <col min="13306" max="13560" width="9.140625" style="15"/>
    <col min="13561" max="13561" width="18.5703125" style="15" customWidth="1"/>
    <col min="13562" max="13816" width="9.140625" style="15"/>
    <col min="13817" max="13817" width="18.5703125" style="15" customWidth="1"/>
    <col min="13818" max="14072" width="9.140625" style="15"/>
    <col min="14073" max="14073" width="18.5703125" style="15" customWidth="1"/>
    <col min="14074" max="14328" width="9.140625" style="15"/>
    <col min="14329" max="14329" width="18.5703125" style="15" customWidth="1"/>
    <col min="14330" max="14584" width="9.140625" style="15"/>
    <col min="14585" max="14585" width="18.5703125" style="15" customWidth="1"/>
    <col min="14586" max="14840" width="9.140625" style="15"/>
    <col min="14841" max="14841" width="18.5703125" style="15" customWidth="1"/>
    <col min="14842" max="15096" width="9.140625" style="15"/>
    <col min="15097" max="15097" width="18.5703125" style="15" customWidth="1"/>
    <col min="15098" max="15352" width="9.140625" style="15"/>
    <col min="15353" max="15353" width="18.5703125" style="15" customWidth="1"/>
    <col min="15354" max="15608" width="9.140625" style="15"/>
    <col min="15609" max="15609" width="18.5703125" style="15" customWidth="1"/>
    <col min="15610" max="15864" width="9.140625" style="15"/>
    <col min="15865" max="15865" width="18.5703125" style="15" customWidth="1"/>
    <col min="15866" max="16120" width="9.140625" style="15"/>
    <col min="16121" max="16121" width="18.5703125" style="15" customWidth="1"/>
    <col min="16122" max="16384" width="9.140625" style="15"/>
  </cols>
  <sheetData>
    <row r="1" spans="1:12" ht="21" x14ac:dyDescent="0.25">
      <c r="A1" s="41"/>
      <c r="B1" s="41"/>
      <c r="C1" s="480" t="str">
        <f>НазваниеПолное</f>
        <v>Ралли "Западные ворота - 2017"</v>
      </c>
      <c r="D1" s="480"/>
      <c r="E1" s="480"/>
      <c r="F1" s="480"/>
      <c r="G1" s="480"/>
      <c r="H1" s="480"/>
      <c r="I1" s="41"/>
      <c r="J1" s="41"/>
    </row>
    <row r="2" spans="1:12" ht="21" x14ac:dyDescent="0.25">
      <c r="A2" s="41"/>
      <c r="B2" s="41"/>
      <c r="C2" s="480" t="s">
        <v>221</v>
      </c>
      <c r="D2" s="480"/>
      <c r="E2" s="480"/>
      <c r="F2" s="480"/>
      <c r="G2" s="480"/>
      <c r="H2" s="480"/>
      <c r="I2" s="41"/>
      <c r="J2" s="41"/>
    </row>
    <row r="3" spans="1:12" ht="5.0999999999999996" customHeight="1" x14ac:dyDescent="0.25">
      <c r="A3" s="51"/>
      <c r="B3" s="51"/>
      <c r="C3" s="51"/>
      <c r="D3" s="52"/>
      <c r="E3" s="52"/>
      <c r="F3" s="52"/>
      <c r="G3" s="52"/>
      <c r="H3" s="51"/>
      <c r="I3" s="52"/>
      <c r="J3" s="51"/>
    </row>
    <row r="4" spans="1:12" ht="18.75" customHeight="1" x14ac:dyDescent="0.25">
      <c r="A4" s="472" t="s">
        <v>32</v>
      </c>
      <c r="B4" s="473"/>
      <c r="C4" s="473"/>
      <c r="D4" s="481" t="s">
        <v>33</v>
      </c>
      <c r="E4" s="481"/>
      <c r="F4" s="481"/>
      <c r="G4" s="481"/>
      <c r="H4" s="481" t="s">
        <v>113</v>
      </c>
      <c r="I4" s="481"/>
      <c r="J4" s="482"/>
    </row>
    <row r="5" spans="1:12" ht="177" customHeight="1" x14ac:dyDescent="0.25">
      <c r="A5" s="472"/>
      <c r="B5" s="473"/>
      <c r="C5" s="473"/>
      <c r="D5" s="237" t="s">
        <v>36</v>
      </c>
      <c r="E5" s="237" t="s">
        <v>34</v>
      </c>
      <c r="F5" s="237" t="s">
        <v>35</v>
      </c>
      <c r="G5" s="237" t="s">
        <v>37</v>
      </c>
      <c r="H5" s="237" t="s">
        <v>39</v>
      </c>
      <c r="I5" s="237" t="s">
        <v>38</v>
      </c>
      <c r="J5" s="238" t="s">
        <v>35</v>
      </c>
      <c r="K5" s="16"/>
    </row>
    <row r="6" spans="1:12" ht="18.75" x14ac:dyDescent="0.25">
      <c r="A6" s="474" t="s">
        <v>17</v>
      </c>
      <c r="B6" s="475"/>
      <c r="C6" s="476"/>
      <c r="D6" s="239"/>
      <c r="E6" s="240"/>
      <c r="F6" s="241"/>
      <c r="G6" s="242"/>
      <c r="H6" s="239"/>
      <c r="I6" s="240"/>
      <c r="J6" s="286"/>
    </row>
    <row r="7" spans="1:12" ht="18.75" customHeight="1" x14ac:dyDescent="0.25">
      <c r="A7" s="469" t="s">
        <v>254</v>
      </c>
      <c r="B7" s="470"/>
      <c r="C7" s="471"/>
      <c r="D7" s="79"/>
      <c r="E7" s="80"/>
      <c r="F7" s="42"/>
      <c r="G7" s="43">
        <f>ВремяСтарта</f>
        <v>0.41736111111111113</v>
      </c>
      <c r="H7" s="79"/>
      <c r="I7" s="80"/>
      <c r="J7" s="287"/>
    </row>
    <row r="8" spans="1:12" ht="18.75" x14ac:dyDescent="0.25">
      <c r="A8" s="469" t="s">
        <v>271</v>
      </c>
      <c r="B8" s="470"/>
      <c r="C8" s="471"/>
      <c r="D8" s="79"/>
      <c r="E8" s="80"/>
      <c r="F8" s="42"/>
      <c r="G8" s="44"/>
      <c r="H8" s="79"/>
      <c r="I8" s="230">
        <f>'ДС-1 РД'!$H$15</f>
        <v>2503</v>
      </c>
      <c r="J8" s="287" t="s">
        <v>114</v>
      </c>
    </row>
    <row r="9" spans="1:12" ht="18.75" x14ac:dyDescent="0.25">
      <c r="A9" s="469" t="s">
        <v>267</v>
      </c>
      <c r="B9" s="470"/>
      <c r="C9" s="471"/>
      <c r="D9" s="79"/>
      <c r="E9" s="80"/>
      <c r="F9" s="42"/>
      <c r="G9" s="44"/>
      <c r="H9" s="79">
        <f>'КВ0-КВ1 Про'!B53-'КВ0-КВ1 Про'!B31</f>
        <v>9.0600000000000023</v>
      </c>
      <c r="I9" s="229">
        <v>570</v>
      </c>
      <c r="J9" s="287">
        <f>ROUND(ДС2Расстояние/(ДС2Время/3600),2)</f>
        <v>57.22</v>
      </c>
      <c r="K9" s="15" t="s">
        <v>362</v>
      </c>
      <c r="L9" s="15">
        <v>409</v>
      </c>
    </row>
    <row r="10" spans="1:12" ht="18.75" x14ac:dyDescent="0.25">
      <c r="A10" s="469" t="s">
        <v>324</v>
      </c>
      <c r="B10" s="470"/>
      <c r="C10" s="471"/>
      <c r="D10" s="79">
        <f>'КВ0-КВ1 Про'!B58</f>
        <v>87.18</v>
      </c>
      <c r="E10" s="229">
        <v>105</v>
      </c>
      <c r="F10" s="42">
        <f>ROUND(D10/(E10/60),2)</f>
        <v>49.82</v>
      </c>
      <c r="G10" s="43">
        <f>G7+E10/1440</f>
        <v>0.49027777777777781</v>
      </c>
      <c r="H10" s="79"/>
      <c r="I10" s="80"/>
      <c r="J10" s="287"/>
    </row>
    <row r="11" spans="1:12" ht="18.75" customHeight="1" x14ac:dyDescent="0.25">
      <c r="A11" s="469" t="s">
        <v>272</v>
      </c>
      <c r="B11" s="470"/>
      <c r="C11" s="471"/>
      <c r="D11" s="79"/>
      <c r="E11" s="80"/>
      <c r="F11" s="42"/>
      <c r="G11" s="44"/>
      <c r="H11" s="185">
        <f>'КВ1-КВ2 Про'!B20-'КВ1-КВ2 Про'!B11</f>
        <v>11.379999999999995</v>
      </c>
      <c r="I11" s="229">
        <v>670</v>
      </c>
      <c r="J11" s="287">
        <f>ROUND(ДС3Расстояние/(ДС3Время/3600),2)</f>
        <v>61.15</v>
      </c>
      <c r="K11" s="15" t="s">
        <v>362</v>
      </c>
      <c r="L11" s="15">
        <v>455</v>
      </c>
    </row>
    <row r="12" spans="1:12" ht="18.75" customHeight="1" x14ac:dyDescent="0.25">
      <c r="A12" s="469" t="s">
        <v>273</v>
      </c>
      <c r="B12" s="470"/>
      <c r="C12" s="471"/>
      <c r="D12" s="79"/>
      <c r="E12" s="80"/>
      <c r="F12" s="42"/>
      <c r="G12" s="44"/>
      <c r="H12" s="79"/>
      <c r="I12" s="230">
        <f>'ДС-4 РД'!H11</f>
        <v>1936</v>
      </c>
      <c r="J12" s="287" t="s">
        <v>114</v>
      </c>
    </row>
    <row r="13" spans="1:12" ht="18.75" x14ac:dyDescent="0.25">
      <c r="A13" s="469" t="s">
        <v>279</v>
      </c>
      <c r="B13" s="470"/>
      <c r="C13" s="471"/>
      <c r="D13" s="79">
        <f>'КВ1-КВ2 Про'!B43</f>
        <v>136.75</v>
      </c>
      <c r="E13" s="229">
        <v>140</v>
      </c>
      <c r="F13" s="42">
        <f>ROUND(D13/(E13/60),2)</f>
        <v>58.61</v>
      </c>
      <c r="G13" s="43">
        <f>G10+E13/1440</f>
        <v>0.58750000000000002</v>
      </c>
      <c r="H13" s="79"/>
      <c r="I13" s="80"/>
      <c r="J13" s="287"/>
    </row>
    <row r="14" spans="1:12" ht="18.75" x14ac:dyDescent="0.25">
      <c r="A14" s="469" t="s">
        <v>294</v>
      </c>
      <c r="B14" s="470"/>
      <c r="C14" s="471"/>
      <c r="D14" s="79"/>
      <c r="E14" s="80"/>
      <c r="F14" s="42"/>
      <c r="G14" s="44"/>
      <c r="H14" s="79"/>
      <c r="I14" s="230">
        <f>'ДС-5 РД'!H27</f>
        <v>1899</v>
      </c>
      <c r="J14" s="287" t="s">
        <v>114</v>
      </c>
    </row>
    <row r="15" spans="1:12" ht="18.75" x14ac:dyDescent="0.25">
      <c r="A15" s="469" t="s">
        <v>268</v>
      </c>
      <c r="B15" s="470"/>
      <c r="C15" s="471"/>
      <c r="D15" s="185">
        <f>'КВ2-КВ3 Про'!B41</f>
        <v>83.69</v>
      </c>
      <c r="E15" s="229">
        <v>95</v>
      </c>
      <c r="F15" s="42">
        <f>ROUND(D15/(E15/60),2)</f>
        <v>52.86</v>
      </c>
      <c r="G15" s="44">
        <f>G13+E15/1440</f>
        <v>0.65347222222222223</v>
      </c>
      <c r="H15" s="79"/>
      <c r="I15" s="80"/>
      <c r="J15" s="287"/>
    </row>
    <row r="16" spans="1:12" ht="18.75" x14ac:dyDescent="0.25">
      <c r="A16" s="469" t="s">
        <v>295</v>
      </c>
      <c r="B16" s="470"/>
      <c r="C16" s="471"/>
      <c r="D16" s="79"/>
      <c r="E16" s="80"/>
      <c r="F16" s="42"/>
      <c r="G16" s="44"/>
      <c r="H16" s="79"/>
      <c r="I16" s="87">
        <v>40</v>
      </c>
      <c r="J16" s="287"/>
    </row>
    <row r="17" spans="1:10" ht="18.75" x14ac:dyDescent="0.25">
      <c r="A17" s="469" t="s">
        <v>16</v>
      </c>
      <c r="B17" s="470"/>
      <c r="C17" s="471"/>
      <c r="D17" s="223">
        <v>0.25</v>
      </c>
      <c r="E17" s="80"/>
      <c r="F17" s="42"/>
      <c r="G17" s="224"/>
      <c r="H17" s="79"/>
      <c r="I17" s="80"/>
      <c r="J17" s="287"/>
    </row>
    <row r="18" spans="1:10" ht="18.75" x14ac:dyDescent="0.25">
      <c r="A18" s="477" t="s">
        <v>321</v>
      </c>
      <c r="B18" s="478"/>
      <c r="C18" s="479"/>
      <c r="D18" s="243"/>
      <c r="E18" s="244"/>
      <c r="F18" s="245"/>
      <c r="G18" s="246"/>
      <c r="H18" s="247"/>
      <c r="I18" s="244"/>
      <c r="J18" s="288"/>
    </row>
    <row r="19" spans="1:10" ht="18.75" x14ac:dyDescent="0.25">
      <c r="A19" s="467" t="s">
        <v>219</v>
      </c>
      <c r="B19" s="468"/>
      <c r="C19" s="468"/>
      <c r="D19" s="248">
        <f>КВ1Расстояние+КВ2Расстояние+КВ3Расстояние</f>
        <v>307.62</v>
      </c>
      <c r="E19" s="248">
        <f>КВ1Время+КВ2Время+КВ3Время</f>
        <v>340</v>
      </c>
      <c r="F19" s="249"/>
      <c r="G19" s="251"/>
      <c r="H19" s="249"/>
      <c r="I19" s="248"/>
      <c r="J19" s="250"/>
    </row>
    <row r="20" spans="1:10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</row>
    <row r="21" spans="1:10" ht="18.75" x14ac:dyDescent="0.25">
      <c r="A21" s="102" t="str">
        <f>"Раннее прибытие на "&amp;КВ3&amp;" не пенализируется в пределах льготы"</f>
        <v>Раннее прибытие на КВ-3 Финиш не пенализируется в пределах льготы</v>
      </c>
      <c r="B21" s="102"/>
      <c r="C21" s="102"/>
      <c r="D21" s="17"/>
      <c r="E21" s="17"/>
      <c r="F21" s="17"/>
      <c r="G21" s="17"/>
      <c r="H21" s="17"/>
      <c r="I21" s="17"/>
      <c r="J21" s="17"/>
    </row>
    <row r="22" spans="1:10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</row>
    <row r="23" spans="1:10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</row>
    <row r="24" spans="1:10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</row>
    <row r="25" spans="1:10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</row>
    <row r="26" spans="1:10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</row>
    <row r="27" spans="1:10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</row>
    <row r="29" spans="1:10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</row>
    <row r="30" spans="1:10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</row>
    <row r="31" spans="1:10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</row>
  </sheetData>
  <mergeCells count="19">
    <mergeCell ref="C1:H1"/>
    <mergeCell ref="C2:H2"/>
    <mergeCell ref="H4:J4"/>
    <mergeCell ref="D4:G4"/>
    <mergeCell ref="A16:C16"/>
    <mergeCell ref="A14:C14"/>
    <mergeCell ref="A12:C12"/>
    <mergeCell ref="A19:C19"/>
    <mergeCell ref="A17:C17"/>
    <mergeCell ref="A4:C5"/>
    <mergeCell ref="A15:C15"/>
    <mergeCell ref="A6:C6"/>
    <mergeCell ref="A7:C7"/>
    <mergeCell ref="A8:C8"/>
    <mergeCell ref="A9:C9"/>
    <mergeCell ref="A10:C10"/>
    <mergeCell ref="A11:C11"/>
    <mergeCell ref="A13:C13"/>
    <mergeCell ref="A18:C18"/>
  </mergeCells>
  <pageMargins left="0.39370078740157483" right="0.39370078740157483" top="0.39370078740157483" bottom="0.39370078740157483" header="0" footer="0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42"/>
  <sheetViews>
    <sheetView view="pageBreakPreview" topLeftCell="A5" zoomScale="115" zoomScaleNormal="70" zoomScaleSheetLayoutView="115" workbookViewId="0">
      <selection activeCell="J5" sqref="J5"/>
    </sheetView>
  </sheetViews>
  <sheetFormatPr defaultRowHeight="15" x14ac:dyDescent="0.25"/>
  <cols>
    <col min="1" max="1" width="14.28515625" style="15" customWidth="1"/>
    <col min="2" max="2" width="0.85546875" style="15" customWidth="1"/>
    <col min="3" max="4" width="6.7109375" style="15" customWidth="1"/>
    <col min="5" max="5" width="2.7109375" style="15" customWidth="1"/>
    <col min="6" max="7" width="6.7109375" style="15" customWidth="1"/>
    <col min="8" max="8" width="3.7109375" style="15" customWidth="1"/>
    <col min="9" max="9" width="8.7109375" style="15" customWidth="1"/>
    <col min="10" max="10" width="3.7109375" style="15" customWidth="1"/>
    <col min="11" max="12" width="6.7109375" style="15" customWidth="1"/>
    <col min="13" max="13" width="8.7109375" style="15" customWidth="1"/>
    <col min="14" max="15" width="6.28515625" style="15" customWidth="1"/>
    <col min="16" max="16" width="0.85546875" style="15" customWidth="1"/>
    <col min="17" max="249" width="9.140625" style="15"/>
    <col min="250" max="250" width="30.7109375" style="15" customWidth="1"/>
    <col min="251" max="251" width="9.140625" style="15" customWidth="1"/>
    <col min="252" max="505" width="9.140625" style="15"/>
    <col min="506" max="506" width="30.7109375" style="15" customWidth="1"/>
    <col min="507" max="507" width="9.140625" style="15" customWidth="1"/>
    <col min="508" max="761" width="9.140625" style="15"/>
    <col min="762" max="762" width="30.7109375" style="15" customWidth="1"/>
    <col min="763" max="763" width="9.140625" style="15" customWidth="1"/>
    <col min="764" max="1017" width="9.140625" style="15"/>
    <col min="1018" max="1018" width="30.7109375" style="15" customWidth="1"/>
    <col min="1019" max="1019" width="9.140625" style="15" customWidth="1"/>
    <col min="1020" max="1273" width="9.140625" style="15"/>
    <col min="1274" max="1274" width="30.7109375" style="15" customWidth="1"/>
    <col min="1275" max="1275" width="9.140625" style="15" customWidth="1"/>
    <col min="1276" max="1529" width="9.140625" style="15"/>
    <col min="1530" max="1530" width="30.7109375" style="15" customWidth="1"/>
    <col min="1531" max="1531" width="9.140625" style="15" customWidth="1"/>
    <col min="1532" max="1785" width="9.140625" style="15"/>
    <col min="1786" max="1786" width="30.7109375" style="15" customWidth="1"/>
    <col min="1787" max="1787" width="9.140625" style="15" customWidth="1"/>
    <col min="1788" max="2041" width="9.140625" style="15"/>
    <col min="2042" max="2042" width="30.7109375" style="15" customWidth="1"/>
    <col min="2043" max="2043" width="9.140625" style="15" customWidth="1"/>
    <col min="2044" max="2297" width="9.140625" style="15"/>
    <col min="2298" max="2298" width="30.7109375" style="15" customWidth="1"/>
    <col min="2299" max="2299" width="9.140625" style="15" customWidth="1"/>
    <col min="2300" max="2553" width="9.140625" style="15"/>
    <col min="2554" max="2554" width="30.7109375" style="15" customWidth="1"/>
    <col min="2555" max="2555" width="9.140625" style="15" customWidth="1"/>
    <col min="2556" max="2809" width="9.140625" style="15"/>
    <col min="2810" max="2810" width="30.7109375" style="15" customWidth="1"/>
    <col min="2811" max="2811" width="9.140625" style="15" customWidth="1"/>
    <col min="2812" max="3065" width="9.140625" style="15"/>
    <col min="3066" max="3066" width="30.7109375" style="15" customWidth="1"/>
    <col min="3067" max="3067" width="9.140625" style="15" customWidth="1"/>
    <col min="3068" max="3321" width="9.140625" style="15"/>
    <col min="3322" max="3322" width="30.7109375" style="15" customWidth="1"/>
    <col min="3323" max="3323" width="9.140625" style="15" customWidth="1"/>
    <col min="3324" max="3577" width="9.140625" style="15"/>
    <col min="3578" max="3578" width="30.7109375" style="15" customWidth="1"/>
    <col min="3579" max="3579" width="9.140625" style="15" customWidth="1"/>
    <col min="3580" max="3833" width="9.140625" style="15"/>
    <col min="3834" max="3834" width="30.7109375" style="15" customWidth="1"/>
    <col min="3835" max="3835" width="9.140625" style="15" customWidth="1"/>
    <col min="3836" max="4089" width="9.140625" style="15"/>
    <col min="4090" max="4090" width="30.7109375" style="15" customWidth="1"/>
    <col min="4091" max="4091" width="9.140625" style="15" customWidth="1"/>
    <col min="4092" max="4345" width="9.140625" style="15"/>
    <col min="4346" max="4346" width="30.7109375" style="15" customWidth="1"/>
    <col min="4347" max="4347" width="9.140625" style="15" customWidth="1"/>
    <col min="4348" max="4601" width="9.140625" style="15"/>
    <col min="4602" max="4602" width="30.7109375" style="15" customWidth="1"/>
    <col min="4603" max="4603" width="9.140625" style="15" customWidth="1"/>
    <col min="4604" max="4857" width="9.140625" style="15"/>
    <col min="4858" max="4858" width="30.7109375" style="15" customWidth="1"/>
    <col min="4859" max="4859" width="9.140625" style="15" customWidth="1"/>
    <col min="4860" max="5113" width="9.140625" style="15"/>
    <col min="5114" max="5114" width="30.7109375" style="15" customWidth="1"/>
    <col min="5115" max="5115" width="9.140625" style="15" customWidth="1"/>
    <col min="5116" max="5369" width="9.140625" style="15"/>
    <col min="5370" max="5370" width="30.7109375" style="15" customWidth="1"/>
    <col min="5371" max="5371" width="9.140625" style="15" customWidth="1"/>
    <col min="5372" max="5625" width="9.140625" style="15"/>
    <col min="5626" max="5626" width="30.7109375" style="15" customWidth="1"/>
    <col min="5627" max="5627" width="9.140625" style="15" customWidth="1"/>
    <col min="5628" max="5881" width="9.140625" style="15"/>
    <col min="5882" max="5882" width="30.7109375" style="15" customWidth="1"/>
    <col min="5883" max="5883" width="9.140625" style="15" customWidth="1"/>
    <col min="5884" max="6137" width="9.140625" style="15"/>
    <col min="6138" max="6138" width="30.7109375" style="15" customWidth="1"/>
    <col min="6139" max="6139" width="9.140625" style="15" customWidth="1"/>
    <col min="6140" max="6393" width="9.140625" style="15"/>
    <col min="6394" max="6394" width="30.7109375" style="15" customWidth="1"/>
    <col min="6395" max="6395" width="9.140625" style="15" customWidth="1"/>
    <col min="6396" max="6649" width="9.140625" style="15"/>
    <col min="6650" max="6650" width="30.7109375" style="15" customWidth="1"/>
    <col min="6651" max="6651" width="9.140625" style="15" customWidth="1"/>
    <col min="6652" max="6905" width="9.140625" style="15"/>
    <col min="6906" max="6906" width="30.7109375" style="15" customWidth="1"/>
    <col min="6907" max="6907" width="9.140625" style="15" customWidth="1"/>
    <col min="6908" max="7161" width="9.140625" style="15"/>
    <col min="7162" max="7162" width="30.7109375" style="15" customWidth="1"/>
    <col min="7163" max="7163" width="9.140625" style="15" customWidth="1"/>
    <col min="7164" max="7417" width="9.140625" style="15"/>
    <col min="7418" max="7418" width="30.7109375" style="15" customWidth="1"/>
    <col min="7419" max="7419" width="9.140625" style="15" customWidth="1"/>
    <col min="7420" max="7673" width="9.140625" style="15"/>
    <col min="7674" max="7674" width="30.7109375" style="15" customWidth="1"/>
    <col min="7675" max="7675" width="9.140625" style="15" customWidth="1"/>
    <col min="7676" max="7929" width="9.140625" style="15"/>
    <col min="7930" max="7930" width="30.7109375" style="15" customWidth="1"/>
    <col min="7931" max="7931" width="9.140625" style="15" customWidth="1"/>
    <col min="7932" max="8185" width="9.140625" style="15"/>
    <col min="8186" max="8186" width="30.7109375" style="15" customWidth="1"/>
    <col min="8187" max="8187" width="9.140625" style="15" customWidth="1"/>
    <col min="8188" max="8441" width="9.140625" style="15"/>
    <col min="8442" max="8442" width="30.7109375" style="15" customWidth="1"/>
    <col min="8443" max="8443" width="9.140625" style="15" customWidth="1"/>
    <col min="8444" max="8697" width="9.140625" style="15"/>
    <col min="8698" max="8698" width="30.7109375" style="15" customWidth="1"/>
    <col min="8699" max="8699" width="9.140625" style="15" customWidth="1"/>
    <col min="8700" max="8953" width="9.140625" style="15"/>
    <col min="8954" max="8954" width="30.7109375" style="15" customWidth="1"/>
    <col min="8955" max="8955" width="9.140625" style="15" customWidth="1"/>
    <col min="8956" max="9209" width="9.140625" style="15"/>
    <col min="9210" max="9210" width="30.7109375" style="15" customWidth="1"/>
    <col min="9211" max="9211" width="9.140625" style="15" customWidth="1"/>
    <col min="9212" max="9465" width="9.140625" style="15"/>
    <col min="9466" max="9466" width="30.7109375" style="15" customWidth="1"/>
    <col min="9467" max="9467" width="9.140625" style="15" customWidth="1"/>
    <col min="9468" max="9721" width="9.140625" style="15"/>
    <col min="9722" max="9722" width="30.7109375" style="15" customWidth="1"/>
    <col min="9723" max="9723" width="9.140625" style="15" customWidth="1"/>
    <col min="9724" max="9977" width="9.140625" style="15"/>
    <col min="9978" max="9978" width="30.7109375" style="15" customWidth="1"/>
    <col min="9979" max="9979" width="9.140625" style="15" customWidth="1"/>
    <col min="9980" max="10233" width="9.140625" style="15"/>
    <col min="10234" max="10234" width="30.7109375" style="15" customWidth="1"/>
    <col min="10235" max="10235" width="9.140625" style="15" customWidth="1"/>
    <col min="10236" max="10489" width="9.140625" style="15"/>
    <col min="10490" max="10490" width="30.7109375" style="15" customWidth="1"/>
    <col min="10491" max="10491" width="9.140625" style="15" customWidth="1"/>
    <col min="10492" max="10745" width="9.140625" style="15"/>
    <col min="10746" max="10746" width="30.7109375" style="15" customWidth="1"/>
    <col min="10747" max="10747" width="9.140625" style="15" customWidth="1"/>
    <col min="10748" max="11001" width="9.140625" style="15"/>
    <col min="11002" max="11002" width="30.7109375" style="15" customWidth="1"/>
    <col min="11003" max="11003" width="9.140625" style="15" customWidth="1"/>
    <col min="11004" max="11257" width="9.140625" style="15"/>
    <col min="11258" max="11258" width="30.7109375" style="15" customWidth="1"/>
    <col min="11259" max="11259" width="9.140625" style="15" customWidth="1"/>
    <col min="11260" max="11513" width="9.140625" style="15"/>
    <col min="11514" max="11514" width="30.7109375" style="15" customWidth="1"/>
    <col min="11515" max="11515" width="9.140625" style="15" customWidth="1"/>
    <col min="11516" max="11769" width="9.140625" style="15"/>
    <col min="11770" max="11770" width="30.7109375" style="15" customWidth="1"/>
    <col min="11771" max="11771" width="9.140625" style="15" customWidth="1"/>
    <col min="11772" max="12025" width="9.140625" style="15"/>
    <col min="12026" max="12026" width="30.7109375" style="15" customWidth="1"/>
    <col min="12027" max="12027" width="9.140625" style="15" customWidth="1"/>
    <col min="12028" max="12281" width="9.140625" style="15"/>
    <col min="12282" max="12282" width="30.7109375" style="15" customWidth="1"/>
    <col min="12283" max="12283" width="9.140625" style="15" customWidth="1"/>
    <col min="12284" max="12537" width="9.140625" style="15"/>
    <col min="12538" max="12538" width="30.7109375" style="15" customWidth="1"/>
    <col min="12539" max="12539" width="9.140625" style="15" customWidth="1"/>
    <col min="12540" max="12793" width="9.140625" style="15"/>
    <col min="12794" max="12794" width="30.7109375" style="15" customWidth="1"/>
    <col min="12795" max="12795" width="9.140625" style="15" customWidth="1"/>
    <col min="12796" max="13049" width="9.140625" style="15"/>
    <col min="13050" max="13050" width="30.7109375" style="15" customWidth="1"/>
    <col min="13051" max="13051" width="9.140625" style="15" customWidth="1"/>
    <col min="13052" max="13305" width="9.140625" style="15"/>
    <col min="13306" max="13306" width="30.7109375" style="15" customWidth="1"/>
    <col min="13307" max="13307" width="9.140625" style="15" customWidth="1"/>
    <col min="13308" max="13561" width="9.140625" style="15"/>
    <col min="13562" max="13562" width="30.7109375" style="15" customWidth="1"/>
    <col min="13563" max="13563" width="9.140625" style="15" customWidth="1"/>
    <col min="13564" max="13817" width="9.140625" style="15"/>
    <col min="13818" max="13818" width="30.7109375" style="15" customWidth="1"/>
    <col min="13819" max="13819" width="9.140625" style="15" customWidth="1"/>
    <col min="13820" max="14073" width="9.140625" style="15"/>
    <col min="14074" max="14074" width="30.7109375" style="15" customWidth="1"/>
    <col min="14075" max="14075" width="9.140625" style="15" customWidth="1"/>
    <col min="14076" max="14329" width="9.140625" style="15"/>
    <col min="14330" max="14330" width="30.7109375" style="15" customWidth="1"/>
    <col min="14331" max="14331" width="9.140625" style="15" customWidth="1"/>
    <col min="14332" max="14585" width="9.140625" style="15"/>
    <col min="14586" max="14586" width="30.7109375" style="15" customWidth="1"/>
    <col min="14587" max="14587" width="9.140625" style="15" customWidth="1"/>
    <col min="14588" max="14841" width="9.140625" style="15"/>
    <col min="14842" max="14842" width="30.7109375" style="15" customWidth="1"/>
    <col min="14843" max="14843" width="9.140625" style="15" customWidth="1"/>
    <col min="14844" max="15097" width="9.140625" style="15"/>
    <col min="15098" max="15098" width="30.7109375" style="15" customWidth="1"/>
    <col min="15099" max="15099" width="9.140625" style="15" customWidth="1"/>
    <col min="15100" max="15353" width="9.140625" style="15"/>
    <col min="15354" max="15354" width="30.7109375" style="15" customWidth="1"/>
    <col min="15355" max="15355" width="9.140625" style="15" customWidth="1"/>
    <col min="15356" max="15609" width="9.140625" style="15"/>
    <col min="15610" max="15610" width="30.7109375" style="15" customWidth="1"/>
    <col min="15611" max="15611" width="9.140625" style="15" customWidth="1"/>
    <col min="15612" max="15865" width="9.140625" style="15"/>
    <col min="15866" max="15866" width="30.7109375" style="15" customWidth="1"/>
    <col min="15867" max="15867" width="9.140625" style="15" customWidth="1"/>
    <col min="15868" max="16121" width="9.140625" style="15"/>
    <col min="16122" max="16122" width="30.7109375" style="15" customWidth="1"/>
    <col min="16123" max="16123" width="9.140625" style="15" customWidth="1"/>
    <col min="16124" max="16384" width="9.140625" style="15"/>
  </cols>
  <sheetData>
    <row r="1" spans="1:16" ht="21" customHeight="1" x14ac:dyDescent="0.25">
      <c r="A1" s="75"/>
      <c r="B1" s="58"/>
      <c r="C1" s="480" t="str">
        <f>НазваниеПолное</f>
        <v>Ралли "Западные ворота - 2017"</v>
      </c>
      <c r="D1" s="480"/>
      <c r="E1" s="480"/>
      <c r="F1" s="480"/>
      <c r="G1" s="480"/>
      <c r="H1" s="480"/>
      <c r="I1" s="480"/>
      <c r="J1" s="480"/>
      <c r="K1" s="480"/>
      <c r="L1" s="480"/>
      <c r="M1" s="498"/>
      <c r="N1" s="491"/>
      <c r="O1" s="492"/>
      <c r="P1" s="58"/>
    </row>
    <row r="2" spans="1:16" ht="21" customHeight="1" thickBot="1" x14ac:dyDescent="0.3">
      <c r="A2" s="75"/>
      <c r="B2" s="58"/>
      <c r="C2" s="480" t="s">
        <v>220</v>
      </c>
      <c r="D2" s="480"/>
      <c r="E2" s="480"/>
      <c r="F2" s="480"/>
      <c r="G2" s="480"/>
      <c r="H2" s="480"/>
      <c r="I2" s="480"/>
      <c r="J2" s="480"/>
      <c r="K2" s="480"/>
      <c r="L2" s="480"/>
      <c r="M2" s="498"/>
      <c r="N2" s="493"/>
      <c r="O2" s="494"/>
      <c r="P2" s="58"/>
    </row>
    <row r="3" spans="1:16" ht="5.0999999999999996" customHeight="1" x14ac:dyDescent="0.25">
      <c r="A3" s="54"/>
      <c r="B3" s="54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4"/>
    </row>
    <row r="4" spans="1:16" ht="21" customHeight="1" thickBot="1" x14ac:dyDescent="0.3">
      <c r="A4" s="144"/>
      <c r="B4" s="289"/>
      <c r="C4" s="500" t="s">
        <v>329</v>
      </c>
      <c r="D4" s="500"/>
      <c r="E4" s="289"/>
      <c r="F4" s="289"/>
      <c r="G4" s="289"/>
      <c r="H4" s="289"/>
      <c r="I4" s="89"/>
      <c r="J4" s="89"/>
      <c r="K4" s="289"/>
      <c r="L4" s="289"/>
      <c r="M4" s="380"/>
      <c r="N4" s="501" t="s">
        <v>119</v>
      </c>
      <c r="O4" s="501"/>
      <c r="P4" s="290"/>
    </row>
    <row r="5" spans="1:16" ht="21" customHeight="1" thickBot="1" x14ac:dyDescent="0.3">
      <c r="A5" s="144" t="str">
        <f>ТИ0</f>
        <v>ТИ-0</v>
      </c>
      <c r="B5" s="56"/>
      <c r="C5" s="487"/>
      <c r="D5" s="488"/>
      <c r="E5" s="56"/>
      <c r="F5" s="56"/>
      <c r="G5" s="56"/>
      <c r="H5" s="56"/>
      <c r="I5" s="56"/>
      <c r="J5" s="56"/>
      <c r="K5" s="56"/>
      <c r="L5" s="56"/>
      <c r="M5" s="56"/>
      <c r="N5" s="485"/>
      <c r="O5" s="486"/>
      <c r="P5" s="291"/>
    </row>
    <row r="6" spans="1:16" ht="21" customHeight="1" thickBot="1" x14ac:dyDescent="0.3">
      <c r="A6" s="144"/>
      <c r="B6" s="56"/>
      <c r="C6" s="496" t="s">
        <v>314</v>
      </c>
      <c r="D6" s="496"/>
      <c r="E6" s="56"/>
      <c r="F6" s="497" t="s">
        <v>315</v>
      </c>
      <c r="G6" s="497"/>
      <c r="H6" s="56"/>
      <c r="I6" s="74"/>
      <c r="J6" s="74"/>
      <c r="K6" s="56"/>
      <c r="L6" s="56"/>
      <c r="M6" s="272"/>
      <c r="N6" s="174"/>
      <c r="O6" s="174"/>
      <c r="P6" s="291"/>
    </row>
    <row r="7" spans="1:16" ht="21" customHeight="1" thickBot="1" x14ac:dyDescent="0.3">
      <c r="A7" s="144" t="str">
        <f>КВ0</f>
        <v>КВ-0 Старт</v>
      </c>
      <c r="B7" s="57"/>
      <c r="C7" s="487" t="s">
        <v>225</v>
      </c>
      <c r="D7" s="488"/>
      <c r="E7" s="175"/>
      <c r="F7" s="487" t="s">
        <v>225</v>
      </c>
      <c r="G7" s="488"/>
      <c r="H7" s="56"/>
      <c r="I7" s="74"/>
      <c r="J7" s="74"/>
      <c r="K7" s="499"/>
      <c r="L7" s="499"/>
      <c r="M7" s="216"/>
      <c r="N7" s="485"/>
      <c r="O7" s="486"/>
      <c r="P7" s="292"/>
    </row>
    <row r="8" spans="1:16" ht="21" customHeight="1" thickBot="1" x14ac:dyDescent="0.3">
      <c r="A8" s="217" t="s">
        <v>318</v>
      </c>
      <c r="B8" s="56"/>
      <c r="C8" s="489" t="s">
        <v>70</v>
      </c>
      <c r="D8" s="489"/>
      <c r="E8" s="56"/>
      <c r="F8" s="490" t="s">
        <v>40</v>
      </c>
      <c r="G8" s="490"/>
      <c r="H8" s="56"/>
      <c r="I8" s="56"/>
      <c r="J8" s="56"/>
      <c r="K8" s="490" t="s">
        <v>41</v>
      </c>
      <c r="L8" s="490"/>
      <c r="M8" s="81"/>
      <c r="N8" s="116"/>
      <c r="O8" s="116"/>
      <c r="P8" s="291"/>
    </row>
    <row r="9" spans="1:16" ht="21" customHeight="1" thickBot="1" x14ac:dyDescent="0.3">
      <c r="A9" s="144" t="str">
        <f>ДС1</f>
        <v>ДС-1 РД</v>
      </c>
      <c r="B9" s="56"/>
      <c r="C9" s="483" t="s">
        <v>225</v>
      </c>
      <c r="D9" s="484"/>
      <c r="E9" s="56"/>
      <c r="F9" s="483" t="s">
        <v>225</v>
      </c>
      <c r="G9" s="484"/>
      <c r="H9" s="56"/>
      <c r="I9" s="74"/>
      <c r="J9" s="56"/>
      <c r="K9" s="483" t="s">
        <v>230</v>
      </c>
      <c r="L9" s="484"/>
      <c r="M9" s="81"/>
      <c r="N9" s="485"/>
      <c r="O9" s="486"/>
      <c r="P9" s="291"/>
    </row>
    <row r="10" spans="1:16" ht="21" customHeight="1" thickBot="1" x14ac:dyDescent="0.3">
      <c r="A10" s="144"/>
      <c r="B10" s="56"/>
      <c r="C10" s="489" t="s">
        <v>70</v>
      </c>
      <c r="D10" s="489"/>
      <c r="E10" s="56"/>
      <c r="F10" s="496" t="s">
        <v>40</v>
      </c>
      <c r="G10" s="496"/>
      <c r="H10" s="56"/>
      <c r="I10" s="74"/>
      <c r="J10" s="74"/>
      <c r="K10" s="490" t="s">
        <v>41</v>
      </c>
      <c r="L10" s="490"/>
      <c r="M10" s="81" t="str">
        <f>"+ "&amp;КВ1Время&amp;"'"</f>
        <v>+ 105'</v>
      </c>
      <c r="N10" s="116"/>
      <c r="O10" s="116"/>
      <c r="P10" s="291"/>
    </row>
    <row r="11" spans="1:16" ht="21" customHeight="1" thickBot="1" x14ac:dyDescent="0.3">
      <c r="A11" s="144" t="str">
        <f>ДС2</f>
        <v>ДС-2 РУ</v>
      </c>
      <c r="B11" s="56"/>
      <c r="C11" s="487" t="s">
        <v>225</v>
      </c>
      <c r="D11" s="488"/>
      <c r="E11" s="56"/>
      <c r="F11" s="487" t="s">
        <v>225</v>
      </c>
      <c r="G11" s="488"/>
      <c r="H11" s="56"/>
      <c r="I11" s="81" t="str">
        <f>"+ "&amp;ДС2Время&amp;CHAR(34)</f>
        <v>+ 570"</v>
      </c>
      <c r="J11" s="74"/>
      <c r="K11" s="483" t="s">
        <v>230</v>
      </c>
      <c r="L11" s="484"/>
      <c r="M11" s="74"/>
      <c r="N11" s="485"/>
      <c r="O11" s="486"/>
      <c r="P11" s="291"/>
    </row>
    <row r="12" spans="1:16" ht="21" customHeight="1" thickBot="1" x14ac:dyDescent="0.3">
      <c r="A12" s="144"/>
      <c r="B12" s="56"/>
      <c r="C12" s="495"/>
      <c r="D12" s="495"/>
      <c r="E12" s="56"/>
      <c r="F12" s="74"/>
      <c r="G12" s="74"/>
      <c r="H12" s="56"/>
      <c r="I12" s="56"/>
      <c r="J12" s="56"/>
      <c r="K12" s="56"/>
      <c r="L12" s="56"/>
      <c r="M12" s="56"/>
      <c r="N12" s="116"/>
      <c r="O12" s="116"/>
      <c r="P12" s="291"/>
    </row>
    <row r="13" spans="1:16" ht="21" customHeight="1" thickBot="1" x14ac:dyDescent="0.3">
      <c r="A13" s="144" t="str">
        <f>КВ1</f>
        <v>КВ-1 Борщевик</v>
      </c>
      <c r="B13" s="56"/>
      <c r="C13" s="487" t="s">
        <v>225</v>
      </c>
      <c r="D13" s="488"/>
      <c r="E13" s="56"/>
      <c r="F13" s="74"/>
      <c r="G13" s="74"/>
      <c r="H13" s="56"/>
      <c r="I13" s="56"/>
      <c r="J13" s="56"/>
      <c r="K13" s="56"/>
      <c r="L13" s="56"/>
      <c r="M13" s="56"/>
      <c r="N13" s="485"/>
      <c r="O13" s="486"/>
      <c r="P13" s="291"/>
    </row>
    <row r="14" spans="1:16" ht="21" customHeight="1" thickBot="1" x14ac:dyDescent="0.3">
      <c r="A14" s="144"/>
      <c r="B14" s="56"/>
      <c r="C14" s="489" t="s">
        <v>70</v>
      </c>
      <c r="D14" s="489"/>
      <c r="E14" s="56"/>
      <c r="F14" s="496" t="s">
        <v>40</v>
      </c>
      <c r="G14" s="496"/>
      <c r="H14" s="56"/>
      <c r="I14" s="74"/>
      <c r="J14" s="74"/>
      <c r="K14" s="490" t="s">
        <v>41</v>
      </c>
      <c r="L14" s="490"/>
      <c r="M14" s="272"/>
      <c r="N14" s="116"/>
      <c r="O14" s="116"/>
      <c r="P14" s="291"/>
    </row>
    <row r="15" spans="1:16" ht="21" customHeight="1" thickBot="1" x14ac:dyDescent="0.3">
      <c r="A15" s="144" t="str">
        <f>ДС3</f>
        <v>ДС-3 РУ</v>
      </c>
      <c r="B15" s="56"/>
      <c r="C15" s="487" t="s">
        <v>225</v>
      </c>
      <c r="D15" s="488"/>
      <c r="E15" s="56"/>
      <c r="F15" s="487" t="s">
        <v>225</v>
      </c>
      <c r="G15" s="488"/>
      <c r="H15" s="56"/>
      <c r="I15" s="81" t="str">
        <f>"+ "&amp;ДС3Время&amp;CHAR(34)</f>
        <v>+ 670"</v>
      </c>
      <c r="J15" s="74"/>
      <c r="K15" s="483" t="s">
        <v>230</v>
      </c>
      <c r="L15" s="484"/>
      <c r="M15" s="74"/>
      <c r="N15" s="485"/>
      <c r="O15" s="486"/>
      <c r="P15" s="291"/>
    </row>
    <row r="16" spans="1:16" ht="21" customHeight="1" thickBot="1" x14ac:dyDescent="0.3">
      <c r="A16" s="144"/>
      <c r="B16" s="56"/>
      <c r="C16" s="489" t="s">
        <v>70</v>
      </c>
      <c r="D16" s="489"/>
      <c r="E16" s="56"/>
      <c r="F16" s="490" t="s">
        <v>40</v>
      </c>
      <c r="G16" s="490"/>
      <c r="H16" s="56"/>
      <c r="I16" s="56"/>
      <c r="J16" s="56"/>
      <c r="K16" s="490" t="s">
        <v>41</v>
      </c>
      <c r="L16" s="490"/>
      <c r="M16" s="81" t="str">
        <f>"+ "&amp;КВ2Время&amp;"'"</f>
        <v>+ 140'</v>
      </c>
      <c r="N16" s="116"/>
      <c r="O16" s="116"/>
      <c r="P16" s="291"/>
    </row>
    <row r="17" spans="1:16" ht="21" customHeight="1" thickBot="1" x14ac:dyDescent="0.3">
      <c r="A17" s="144" t="str">
        <f>ДС4</f>
        <v>ДС-4 РД</v>
      </c>
      <c r="B17" s="56"/>
      <c r="C17" s="487" t="s">
        <v>225</v>
      </c>
      <c r="D17" s="488"/>
      <c r="E17" s="56"/>
      <c r="F17" s="487" t="s">
        <v>225</v>
      </c>
      <c r="G17" s="488"/>
      <c r="H17" s="56"/>
      <c r="I17" s="74"/>
      <c r="J17" s="56"/>
      <c r="K17" s="483" t="s">
        <v>230</v>
      </c>
      <c r="L17" s="484"/>
      <c r="M17" s="78"/>
      <c r="N17" s="485"/>
      <c r="O17" s="486"/>
      <c r="P17" s="291"/>
    </row>
    <row r="18" spans="1:16" ht="21" customHeight="1" thickBot="1" x14ac:dyDescent="0.3">
      <c r="A18" s="144"/>
      <c r="B18" s="56"/>
      <c r="C18" s="495"/>
      <c r="D18" s="495"/>
      <c r="E18" s="56"/>
      <c r="F18" s="173"/>
      <c r="G18" s="173"/>
      <c r="H18" s="56"/>
      <c r="I18" s="56"/>
      <c r="J18" s="56"/>
      <c r="K18" s="56"/>
      <c r="L18" s="56"/>
      <c r="M18" s="74"/>
      <c r="N18" s="116"/>
      <c r="O18" s="116"/>
      <c r="P18" s="291"/>
    </row>
    <row r="19" spans="1:16" ht="21" customHeight="1" thickBot="1" x14ac:dyDescent="0.3">
      <c r="A19" s="144" t="str">
        <f>КВ2</f>
        <v>КВ-2 ПКАД</v>
      </c>
      <c r="B19" s="57"/>
      <c r="C19" s="487" t="s">
        <v>225</v>
      </c>
      <c r="D19" s="488"/>
      <c r="E19" s="56"/>
      <c r="F19" s="78"/>
      <c r="G19" s="78"/>
      <c r="H19" s="56"/>
      <c r="I19" s="56"/>
      <c r="J19" s="56"/>
      <c r="K19" s="56"/>
      <c r="L19" s="56"/>
      <c r="M19" s="57"/>
      <c r="N19" s="485"/>
      <c r="O19" s="486"/>
      <c r="P19" s="291"/>
    </row>
    <row r="20" spans="1:16" ht="21" customHeight="1" thickBot="1" x14ac:dyDescent="0.3">
      <c r="A20" s="217" t="s">
        <v>318</v>
      </c>
      <c r="B20" s="56"/>
      <c r="C20" s="489" t="s">
        <v>70</v>
      </c>
      <c r="D20" s="489"/>
      <c r="E20" s="56"/>
      <c r="F20" s="490" t="s">
        <v>40</v>
      </c>
      <c r="G20" s="490"/>
      <c r="H20" s="56"/>
      <c r="I20" s="56"/>
      <c r="J20" s="56"/>
      <c r="K20" s="490" t="s">
        <v>41</v>
      </c>
      <c r="L20" s="490"/>
      <c r="M20" s="81"/>
      <c r="N20" s="116"/>
      <c r="O20" s="116"/>
      <c r="P20" s="291"/>
    </row>
    <row r="21" spans="1:16" ht="21" customHeight="1" thickBot="1" x14ac:dyDescent="0.3">
      <c r="A21" s="144" t="str">
        <f>ДС5</f>
        <v>ДС-5 РД</v>
      </c>
      <c r="B21" s="56"/>
      <c r="C21" s="483" t="s">
        <v>225</v>
      </c>
      <c r="D21" s="484"/>
      <c r="E21" s="56"/>
      <c r="F21" s="487" t="s">
        <v>225</v>
      </c>
      <c r="G21" s="488"/>
      <c r="H21" s="56"/>
      <c r="I21" s="74"/>
      <c r="J21" s="56"/>
      <c r="K21" s="483" t="s">
        <v>230</v>
      </c>
      <c r="L21" s="484"/>
      <c r="M21" s="81" t="str">
        <f>"+ "&amp;КВ3Время&amp;"'"</f>
        <v>+ 95'</v>
      </c>
      <c r="N21" s="485"/>
      <c r="O21" s="486"/>
      <c r="P21" s="291"/>
    </row>
    <row r="22" spans="1:16" ht="21" customHeight="1" thickBot="1" x14ac:dyDescent="0.3">
      <c r="A22" s="145"/>
      <c r="B22" s="56"/>
      <c r="C22" s="495"/>
      <c r="D22" s="495"/>
      <c r="E22" s="56"/>
      <c r="F22" s="173"/>
      <c r="G22" s="173"/>
      <c r="H22" s="56"/>
      <c r="I22" s="56"/>
      <c r="J22" s="56"/>
      <c r="K22" s="56"/>
      <c r="L22" s="56"/>
      <c r="M22" s="56"/>
      <c r="N22" s="83"/>
      <c r="O22" s="83"/>
      <c r="P22" s="291"/>
    </row>
    <row r="23" spans="1:16" ht="21" customHeight="1" thickBot="1" x14ac:dyDescent="0.3">
      <c r="A23" s="144" t="str">
        <f>КВ3</f>
        <v>КВ-3 Финиш</v>
      </c>
      <c r="B23" s="56"/>
      <c r="C23" s="487" t="s">
        <v>225</v>
      </c>
      <c r="D23" s="488"/>
      <c r="E23" s="56"/>
      <c r="F23" s="78"/>
      <c r="G23" s="78"/>
      <c r="H23" s="56"/>
      <c r="I23" s="56"/>
      <c r="J23" s="56"/>
      <c r="K23" s="74"/>
      <c r="L23" s="74"/>
      <c r="M23" s="273"/>
      <c r="N23" s="485"/>
      <c r="O23" s="486"/>
      <c r="P23" s="291"/>
    </row>
    <row r="24" spans="1:16" ht="21" customHeight="1" thickBot="1" x14ac:dyDescent="0.3">
      <c r="A24" s="144"/>
      <c r="B24" s="56"/>
      <c r="C24" s="489"/>
      <c r="D24" s="489"/>
      <c r="E24" s="56"/>
      <c r="F24" s="56"/>
      <c r="G24" s="56"/>
      <c r="H24" s="56"/>
      <c r="I24" s="56"/>
      <c r="J24" s="56"/>
      <c r="K24" s="56"/>
      <c r="L24" s="56"/>
      <c r="M24" s="74"/>
      <c r="N24" s="85"/>
      <c r="O24" s="84"/>
      <c r="P24" s="291"/>
    </row>
    <row r="25" spans="1:16" ht="21" customHeight="1" thickBot="1" x14ac:dyDescent="0.3">
      <c r="A25" s="144" t="str">
        <f>ДС6</f>
        <v>ДС-6 СЛ</v>
      </c>
      <c r="B25" s="56"/>
      <c r="C25" s="483" t="s">
        <v>231</v>
      </c>
      <c r="D25" s="484"/>
      <c r="E25" s="56"/>
      <c r="F25" s="56"/>
      <c r="G25" s="56"/>
      <c r="H25" s="56"/>
      <c r="I25" s="56"/>
      <c r="J25" s="56"/>
      <c r="K25" s="56"/>
      <c r="L25" s="56"/>
      <c r="M25" s="74"/>
      <c r="N25" s="485"/>
      <c r="O25" s="486"/>
      <c r="P25" s="291"/>
    </row>
    <row r="26" spans="1:16" ht="5.0999999999999996" customHeight="1" x14ac:dyDescent="0.25">
      <c r="A26" s="144"/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  <c r="M26" s="293"/>
      <c r="N26" s="294"/>
      <c r="O26" s="294"/>
      <c r="P26" s="295"/>
    </row>
    <row r="27" spans="1:16" ht="5.0999999999999996" customHeight="1" x14ac:dyDescent="0.25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82"/>
      <c r="O27" s="82"/>
      <c r="P27" s="53"/>
    </row>
    <row r="28" spans="1:16" ht="5.0999999999999996" customHeight="1" thickBot="1" x14ac:dyDescent="0.3">
      <c r="A28" s="144"/>
      <c r="B28" s="289"/>
      <c r="C28" s="502"/>
      <c r="D28" s="502"/>
      <c r="E28" s="289"/>
      <c r="F28" s="296"/>
      <c r="G28" s="296"/>
      <c r="H28" s="289"/>
      <c r="I28" s="289"/>
      <c r="J28" s="289"/>
      <c r="K28" s="289"/>
      <c r="L28" s="289"/>
      <c r="M28" s="289"/>
      <c r="N28" s="297"/>
      <c r="O28" s="297"/>
      <c r="P28" s="290"/>
    </row>
    <row r="29" spans="1:16" ht="21" customHeight="1" thickBot="1" x14ac:dyDescent="0.3">
      <c r="A29" s="144" t="str">
        <f>ВКВ1</f>
        <v>ВКВ-1</v>
      </c>
      <c r="B29" s="56"/>
      <c r="C29" s="487" t="s">
        <v>225</v>
      </c>
      <c r="D29" s="488"/>
      <c r="E29" s="56"/>
      <c r="F29" s="55"/>
      <c r="G29" s="55"/>
      <c r="H29" s="56"/>
      <c r="I29" s="56"/>
      <c r="J29" s="56"/>
      <c r="K29" s="56"/>
      <c r="L29" s="56"/>
      <c r="M29" s="56"/>
      <c r="N29" s="485"/>
      <c r="O29" s="486"/>
      <c r="P29" s="291"/>
    </row>
    <row r="30" spans="1:16" ht="21" customHeight="1" thickBot="1" x14ac:dyDescent="0.3">
      <c r="A30" s="144"/>
      <c r="B30" s="56"/>
      <c r="C30" s="225"/>
      <c r="D30" s="225"/>
      <c r="E30" s="56"/>
      <c r="F30" s="55"/>
      <c r="G30" s="55"/>
      <c r="H30" s="56"/>
      <c r="I30" s="56"/>
      <c r="J30" s="56"/>
      <c r="K30" s="56"/>
      <c r="L30" s="56"/>
      <c r="M30" s="56"/>
      <c r="N30" s="226"/>
      <c r="O30" s="226"/>
      <c r="P30" s="291"/>
    </row>
    <row r="31" spans="1:16" ht="21" customHeight="1" thickBot="1" x14ac:dyDescent="0.3">
      <c r="A31" s="144" t="str">
        <f>ВКП1</f>
        <v>ВКП-1</v>
      </c>
      <c r="B31" s="56"/>
      <c r="C31" s="483"/>
      <c r="D31" s="484"/>
      <c r="E31" s="56"/>
      <c r="F31" s="55"/>
      <c r="G31" s="55"/>
      <c r="H31" s="56"/>
      <c r="I31" s="56"/>
      <c r="J31" s="56"/>
      <c r="K31" s="56"/>
      <c r="L31" s="56"/>
      <c r="M31" s="56"/>
      <c r="N31" s="485"/>
      <c r="O31" s="486"/>
      <c r="P31" s="291"/>
    </row>
    <row r="32" spans="1:16" ht="5.0999999999999996" customHeight="1" x14ac:dyDescent="0.25">
      <c r="A32" s="144"/>
      <c r="B32" s="293"/>
      <c r="C32" s="293"/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4"/>
      <c r="O32" s="294"/>
      <c r="P32" s="295"/>
    </row>
    <row r="33" spans="1:16" ht="5.0999999999999996" customHeight="1" x14ac:dyDescent="0.25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82"/>
      <c r="O33" s="82"/>
      <c r="P33" s="53"/>
    </row>
    <row r="34" spans="1:16" ht="30" customHeight="1" x14ac:dyDescent="0.25">
      <c r="A34" s="145" t="s">
        <v>53</v>
      </c>
      <c r="B34" s="53"/>
      <c r="C34" s="18">
        <v>1</v>
      </c>
      <c r="D34" s="76">
        <f>1+C34</f>
        <v>2</v>
      </c>
      <c r="E34" s="77"/>
      <c r="F34" s="18">
        <f>1+D34</f>
        <v>3</v>
      </c>
      <c r="G34" s="76">
        <f>1+F34</f>
        <v>4</v>
      </c>
      <c r="H34" s="77"/>
      <c r="I34" s="76">
        <f>1+G34</f>
        <v>5</v>
      </c>
      <c r="J34" s="76">
        <f>1+I34</f>
        <v>6</v>
      </c>
      <c r="K34" s="77"/>
      <c r="L34" s="18">
        <f>1+J34</f>
        <v>7</v>
      </c>
      <c r="M34" s="18">
        <f t="shared" ref="M34:O34" si="0">1+L34</f>
        <v>8</v>
      </c>
      <c r="N34" s="77">
        <f t="shared" si="0"/>
        <v>9</v>
      </c>
      <c r="O34" s="77">
        <f t="shared" si="0"/>
        <v>10</v>
      </c>
    </row>
    <row r="35" spans="1:16" ht="30" customHeight="1" x14ac:dyDescent="0.25">
      <c r="A35" s="145"/>
      <c r="B35" s="53"/>
      <c r="C35" s="18">
        <f>1+O34</f>
        <v>11</v>
      </c>
      <c r="D35" s="76">
        <f>1+C35</f>
        <v>12</v>
      </c>
      <c r="E35" s="77"/>
      <c r="F35" s="18">
        <f>1+D35</f>
        <v>13</v>
      </c>
      <c r="G35" s="76">
        <f>1+F35</f>
        <v>14</v>
      </c>
      <c r="H35" s="77"/>
      <c r="I35" s="76">
        <f>1+G35</f>
        <v>15</v>
      </c>
      <c r="J35" s="76">
        <f>1+I35</f>
        <v>16</v>
      </c>
      <c r="K35" s="77"/>
      <c r="L35" s="18">
        <f>1+J35</f>
        <v>17</v>
      </c>
      <c r="M35" s="18">
        <f t="shared" ref="M35" si="1">1+L35</f>
        <v>18</v>
      </c>
      <c r="N35" s="77">
        <f t="shared" ref="N35" si="2">1+M35</f>
        <v>19</v>
      </c>
      <c r="O35" s="77">
        <f t="shared" ref="O35" si="3">1+N35</f>
        <v>20</v>
      </c>
    </row>
    <row r="36" spans="1:16" ht="15" customHeight="1" x14ac:dyDescent="0.2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</row>
    <row r="37" spans="1:16" ht="15" customHeight="1" x14ac:dyDescent="0.2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</row>
    <row r="38" spans="1:16" ht="15" customHeight="1" x14ac:dyDescent="0.2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</row>
    <row r="39" spans="1:16" ht="15" customHeight="1" x14ac:dyDescent="0.2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</row>
    <row r="40" spans="1:16" ht="15" customHeight="1" x14ac:dyDescent="0.2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</row>
    <row r="41" spans="1:16" ht="15" customHeight="1" x14ac:dyDescent="0.2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</row>
    <row r="42" spans="1:16" ht="15" customHeight="1" x14ac:dyDescent="0.2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</row>
  </sheetData>
  <mergeCells count="65">
    <mergeCell ref="C4:D4"/>
    <mergeCell ref="C5:D5"/>
    <mergeCell ref="N4:O4"/>
    <mergeCell ref="N25:O25"/>
    <mergeCell ref="N29:O29"/>
    <mergeCell ref="C28:D28"/>
    <mergeCell ref="K17:L17"/>
    <mergeCell ref="C29:D29"/>
    <mergeCell ref="C17:D17"/>
    <mergeCell ref="F17:G17"/>
    <mergeCell ref="C13:D13"/>
    <mergeCell ref="C24:D24"/>
    <mergeCell ref="C18:D18"/>
    <mergeCell ref="C25:D25"/>
    <mergeCell ref="C19:D19"/>
    <mergeCell ref="C23:D23"/>
    <mergeCell ref="C22:D22"/>
    <mergeCell ref="F14:G14"/>
    <mergeCell ref="C15:D15"/>
    <mergeCell ref="F15:G15"/>
    <mergeCell ref="C20:D20"/>
    <mergeCell ref="F20:G20"/>
    <mergeCell ref="C21:D21"/>
    <mergeCell ref="F21:G21"/>
    <mergeCell ref="N19:O19"/>
    <mergeCell ref="N23:O23"/>
    <mergeCell ref="K7:L7"/>
    <mergeCell ref="K11:L11"/>
    <mergeCell ref="K14:L14"/>
    <mergeCell ref="K15:L15"/>
    <mergeCell ref="N15:O15"/>
    <mergeCell ref="K20:L20"/>
    <mergeCell ref="K21:L21"/>
    <mergeCell ref="N1:O2"/>
    <mergeCell ref="K16:L16"/>
    <mergeCell ref="C12:D12"/>
    <mergeCell ref="F10:G10"/>
    <mergeCell ref="N5:O5"/>
    <mergeCell ref="F6:G6"/>
    <mergeCell ref="K10:L10"/>
    <mergeCell ref="C1:M1"/>
    <mergeCell ref="C2:M2"/>
    <mergeCell ref="F7:G7"/>
    <mergeCell ref="C11:D11"/>
    <mergeCell ref="C8:D8"/>
    <mergeCell ref="C6:D6"/>
    <mergeCell ref="F11:G11"/>
    <mergeCell ref="C14:D14"/>
    <mergeCell ref="N13:O13"/>
    <mergeCell ref="C31:D31"/>
    <mergeCell ref="N31:O31"/>
    <mergeCell ref="C9:D9"/>
    <mergeCell ref="C7:D7"/>
    <mergeCell ref="C16:D16"/>
    <mergeCell ref="C10:D10"/>
    <mergeCell ref="N21:O21"/>
    <mergeCell ref="F8:G8"/>
    <mergeCell ref="K8:L8"/>
    <mergeCell ref="F9:G9"/>
    <mergeCell ref="K9:L9"/>
    <mergeCell ref="F16:G16"/>
    <mergeCell ref="N17:O17"/>
    <mergeCell ref="N9:O9"/>
    <mergeCell ref="N7:O7"/>
    <mergeCell ref="N11:O11"/>
  </mergeCells>
  <pageMargins left="0.39370078740157483" right="0.39370078740157483" top="0.39370078740157483" bottom="0.39370078740157483" header="0" footer="0"/>
  <pageSetup orientation="portrait" horizontalDpi="200" verticalDpi="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2:J51"/>
  <sheetViews>
    <sheetView view="pageBreakPreview" zoomScaleNormal="55" zoomScaleSheetLayoutView="100" workbookViewId="0">
      <selection activeCell="A3" sqref="A3:J3"/>
    </sheetView>
  </sheetViews>
  <sheetFormatPr defaultRowHeight="15" x14ac:dyDescent="0.25"/>
  <cols>
    <col min="1" max="9" width="9.140625" style="15"/>
    <col min="10" max="10" width="8" style="15" customWidth="1"/>
    <col min="11" max="16384" width="9.140625" style="15"/>
  </cols>
  <sheetData>
    <row r="2" spans="1:10" ht="23.25" x14ac:dyDescent="0.25">
      <c r="A2" s="503" t="str">
        <f>НазваниеПолное</f>
        <v>Ралли "Западные ворота - 2017"</v>
      </c>
      <c r="B2" s="503"/>
      <c r="C2" s="503"/>
      <c r="D2" s="503"/>
      <c r="E2" s="503"/>
      <c r="F2" s="503"/>
      <c r="G2" s="503"/>
      <c r="H2" s="503"/>
      <c r="I2" s="503"/>
      <c r="J2" s="503"/>
    </row>
    <row r="3" spans="1:10" ht="23.25" x14ac:dyDescent="0.25">
      <c r="A3" s="503" t="s">
        <v>98</v>
      </c>
      <c r="B3" s="503"/>
      <c r="C3" s="503"/>
      <c r="D3" s="503"/>
      <c r="E3" s="503"/>
      <c r="F3" s="503"/>
      <c r="G3" s="503"/>
      <c r="H3" s="503"/>
      <c r="I3" s="503"/>
      <c r="J3" s="503"/>
    </row>
    <row r="4" spans="1:10" ht="23.25" x14ac:dyDescent="0.25">
      <c r="A4" s="504" t="s">
        <v>429</v>
      </c>
      <c r="B4" s="504"/>
      <c r="C4" s="504"/>
      <c r="D4" s="504"/>
      <c r="E4" s="504"/>
      <c r="F4" s="504"/>
      <c r="G4" s="504"/>
      <c r="H4" s="504"/>
      <c r="I4" s="504"/>
      <c r="J4" s="504"/>
    </row>
    <row r="50" spans="1:10" ht="18.75" x14ac:dyDescent="0.25">
      <c r="A50" s="505" t="str">
        <f>ДатаРалли</f>
        <v>25 ноября 2017</v>
      </c>
      <c r="B50" s="505"/>
      <c r="C50" s="505"/>
      <c r="D50" s="505"/>
      <c r="E50" s="505"/>
      <c r="F50" s="505"/>
      <c r="G50" s="505"/>
      <c r="H50" s="505"/>
      <c r="I50" s="505"/>
      <c r="J50" s="505"/>
    </row>
    <row r="51" spans="1:10" ht="18.75" x14ac:dyDescent="0.25">
      <c r="A51" s="506" t="s">
        <v>7</v>
      </c>
      <c r="B51" s="506"/>
      <c r="C51" s="506"/>
      <c r="D51" s="506"/>
      <c r="E51" s="506"/>
      <c r="F51" s="506"/>
      <c r="G51" s="506"/>
      <c r="H51" s="506"/>
      <c r="I51" s="506"/>
      <c r="J51" s="506"/>
    </row>
  </sheetData>
  <mergeCells count="5">
    <mergeCell ref="A3:J3"/>
    <mergeCell ref="A4:J4"/>
    <mergeCell ref="A50:J50"/>
    <mergeCell ref="A51:J51"/>
    <mergeCell ref="A2:J2"/>
  </mergeCells>
  <pageMargins left="0.39370078740157483" right="0.39370078740157483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J31"/>
  <sheetViews>
    <sheetView view="pageBreakPreview" zoomScaleNormal="55" zoomScaleSheetLayoutView="100" workbookViewId="0">
      <selection activeCell="A3" sqref="A3:J3"/>
    </sheetView>
  </sheetViews>
  <sheetFormatPr defaultRowHeight="15" x14ac:dyDescent="0.25"/>
  <cols>
    <col min="1" max="3" width="9.140625" style="15"/>
    <col min="4" max="9" width="9.85546875" style="15" customWidth="1"/>
    <col min="10" max="10" width="8" style="15" customWidth="1"/>
    <col min="11" max="16384" width="9.140625" style="15"/>
  </cols>
  <sheetData>
    <row r="1" spans="1:10" ht="18.75" x14ac:dyDescent="0.25">
      <c r="A1" s="509" t="s">
        <v>6</v>
      </c>
      <c r="B1" s="509"/>
      <c r="C1" s="509"/>
      <c r="D1" s="509"/>
      <c r="E1" s="509"/>
      <c r="F1" s="509"/>
      <c r="G1" s="509"/>
      <c r="H1" s="509"/>
      <c r="I1" s="509"/>
      <c r="J1" s="509"/>
    </row>
    <row r="2" spans="1:10" ht="18.75" x14ac:dyDescent="0.25">
      <c r="A2" s="509" t="s">
        <v>232</v>
      </c>
      <c r="B2" s="509"/>
      <c r="C2" s="509"/>
      <c r="D2" s="509"/>
      <c r="E2" s="509"/>
      <c r="F2" s="509"/>
      <c r="G2" s="509"/>
      <c r="H2" s="509"/>
      <c r="I2" s="509"/>
      <c r="J2" s="509"/>
    </row>
    <row r="3" spans="1:10" ht="3" customHeight="1" x14ac:dyDescent="0.25">
      <c r="A3" s="17"/>
      <c r="B3" s="17"/>
      <c r="C3" s="17"/>
      <c r="D3" s="17"/>
    </row>
    <row r="4" spans="1:10" ht="18.75" x14ac:dyDescent="0.25">
      <c r="A4" s="509" t="s">
        <v>258</v>
      </c>
      <c r="B4" s="509"/>
      <c r="C4" s="509"/>
      <c r="D4" s="509"/>
      <c r="E4" s="509"/>
      <c r="F4" s="509"/>
      <c r="G4" s="509"/>
      <c r="H4" s="509"/>
      <c r="I4" s="509"/>
      <c r="J4" s="509"/>
    </row>
    <row r="5" spans="1:10" ht="3" customHeight="1" x14ac:dyDescent="0.25">
      <c r="A5" s="17"/>
      <c r="B5" s="17"/>
      <c r="C5" s="17"/>
      <c r="D5" s="17"/>
    </row>
    <row r="6" spans="1:10" ht="18.75" x14ac:dyDescent="0.25">
      <c r="A6" s="509" t="s">
        <v>206</v>
      </c>
      <c r="B6" s="509"/>
      <c r="C6" s="509"/>
      <c r="D6" s="509"/>
      <c r="E6" s="509"/>
      <c r="F6" s="509"/>
      <c r="G6" s="509"/>
      <c r="H6" s="509"/>
      <c r="I6" s="509"/>
      <c r="J6" s="509"/>
    </row>
    <row r="7" spans="1:10" ht="30" customHeight="1" x14ac:dyDescent="0.25">
      <c r="A7" s="521"/>
      <c r="B7" s="522"/>
      <c r="C7" s="523"/>
      <c r="D7" s="510" t="s">
        <v>59</v>
      </c>
      <c r="E7" s="510"/>
      <c r="F7" s="510"/>
      <c r="G7" s="510"/>
      <c r="H7" s="510"/>
      <c r="I7" s="510"/>
      <c r="J7" s="510"/>
    </row>
    <row r="8" spans="1:10" ht="30" customHeight="1" x14ac:dyDescent="0.25">
      <c r="A8" s="512"/>
      <c r="B8" s="513"/>
      <c r="C8" s="514"/>
      <c r="D8" s="511" t="s">
        <v>60</v>
      </c>
      <c r="E8" s="511"/>
      <c r="F8" s="511"/>
      <c r="G8" s="511"/>
      <c r="H8" s="511"/>
      <c r="I8" s="511"/>
      <c r="J8" s="511"/>
    </row>
    <row r="9" spans="1:10" ht="30" customHeight="1" x14ac:dyDescent="0.25">
      <c r="A9" s="512"/>
      <c r="B9" s="513"/>
      <c r="C9" s="514"/>
      <c r="D9" s="511" t="s">
        <v>55</v>
      </c>
      <c r="E9" s="511"/>
      <c r="F9" s="511"/>
      <c r="G9" s="511"/>
      <c r="H9" s="511"/>
      <c r="I9" s="511"/>
      <c r="J9" s="511"/>
    </row>
    <row r="10" spans="1:10" ht="30" customHeight="1" x14ac:dyDescent="0.25">
      <c r="A10" s="512"/>
      <c r="B10" s="513"/>
      <c r="C10" s="514"/>
      <c r="D10" s="511" t="s">
        <v>96</v>
      </c>
      <c r="E10" s="511"/>
      <c r="F10" s="511"/>
      <c r="G10" s="511"/>
      <c r="H10" s="511"/>
      <c r="I10" s="511"/>
      <c r="J10" s="511"/>
    </row>
    <row r="11" spans="1:10" ht="30" customHeight="1" x14ac:dyDescent="0.25">
      <c r="A11" s="512"/>
      <c r="B11" s="513"/>
      <c r="C11" s="514"/>
      <c r="D11" s="507" t="s">
        <v>69</v>
      </c>
      <c r="E11" s="507"/>
      <c r="F11" s="507"/>
      <c r="G11" s="507"/>
      <c r="H11" s="507"/>
      <c r="I11" s="507"/>
      <c r="J11" s="507"/>
    </row>
    <row r="12" spans="1:10" ht="30" customHeight="1" x14ac:dyDescent="0.25">
      <c r="A12" s="524" t="s">
        <v>276</v>
      </c>
      <c r="B12" s="525"/>
      <c r="C12" s="526"/>
      <c r="D12" s="507" t="s">
        <v>277</v>
      </c>
      <c r="E12" s="507"/>
      <c r="F12" s="507"/>
      <c r="G12" s="507"/>
      <c r="H12" s="507"/>
      <c r="I12" s="507"/>
      <c r="J12" s="507"/>
    </row>
    <row r="13" spans="1:10" ht="30" customHeight="1" x14ac:dyDescent="0.25">
      <c r="A13" s="527" t="s">
        <v>289</v>
      </c>
      <c r="B13" s="528"/>
      <c r="C13" s="529"/>
      <c r="D13" s="518" t="s">
        <v>312</v>
      </c>
      <c r="E13" s="519"/>
      <c r="F13" s="519"/>
      <c r="G13" s="519"/>
      <c r="H13" s="519"/>
      <c r="I13" s="519"/>
      <c r="J13" s="520"/>
    </row>
    <row r="14" spans="1:10" ht="30" customHeight="1" x14ac:dyDescent="0.25">
      <c r="A14" s="512"/>
      <c r="B14" s="513"/>
      <c r="C14" s="514"/>
      <c r="D14" s="507" t="s">
        <v>54</v>
      </c>
      <c r="E14" s="507"/>
      <c r="F14" s="507"/>
      <c r="G14" s="507"/>
      <c r="H14" s="507"/>
      <c r="I14" s="507"/>
      <c r="J14" s="507"/>
    </row>
    <row r="15" spans="1:10" ht="30" customHeight="1" x14ac:dyDescent="0.25">
      <c r="A15" s="512"/>
      <c r="B15" s="513"/>
      <c r="C15" s="514"/>
      <c r="D15" s="507" t="s">
        <v>56</v>
      </c>
      <c r="E15" s="507"/>
      <c r="F15" s="507"/>
      <c r="G15" s="507"/>
      <c r="H15" s="507"/>
      <c r="I15" s="507"/>
      <c r="J15" s="507"/>
    </row>
    <row r="16" spans="1:10" ht="30" customHeight="1" x14ac:dyDescent="0.25">
      <c r="A16" s="512"/>
      <c r="B16" s="513"/>
      <c r="C16" s="514"/>
      <c r="D16" s="507" t="s">
        <v>57</v>
      </c>
      <c r="E16" s="507"/>
      <c r="F16" s="507"/>
      <c r="G16" s="507"/>
      <c r="H16" s="507"/>
      <c r="I16" s="507"/>
      <c r="J16" s="507"/>
    </row>
    <row r="17" spans="1:10" ht="30" customHeight="1" x14ac:dyDescent="0.25">
      <c r="A17" s="512"/>
      <c r="B17" s="513"/>
      <c r="C17" s="514"/>
      <c r="D17" s="507" t="s">
        <v>64</v>
      </c>
      <c r="E17" s="507"/>
      <c r="F17" s="507"/>
      <c r="G17" s="507"/>
      <c r="H17" s="507"/>
      <c r="I17" s="507"/>
      <c r="J17" s="507"/>
    </row>
    <row r="18" spans="1:10" ht="30" customHeight="1" x14ac:dyDescent="0.25">
      <c r="A18" s="512"/>
      <c r="B18" s="513"/>
      <c r="C18" s="514"/>
      <c r="D18" s="507" t="s">
        <v>97</v>
      </c>
      <c r="E18" s="507"/>
      <c r="F18" s="507"/>
      <c r="G18" s="507"/>
      <c r="H18" s="507"/>
      <c r="I18" s="507"/>
      <c r="J18" s="507"/>
    </row>
    <row r="19" spans="1:10" ht="30" customHeight="1" x14ac:dyDescent="0.25">
      <c r="A19" s="512"/>
      <c r="B19" s="513"/>
      <c r="C19" s="514"/>
      <c r="D19" s="507" t="s">
        <v>116</v>
      </c>
      <c r="E19" s="507"/>
      <c r="F19" s="507"/>
      <c r="G19" s="507"/>
      <c r="H19" s="507"/>
      <c r="I19" s="507"/>
      <c r="J19" s="507"/>
    </row>
    <row r="20" spans="1:10" ht="30" customHeight="1" x14ac:dyDescent="0.25">
      <c r="A20" s="512"/>
      <c r="B20" s="513"/>
      <c r="C20" s="514"/>
      <c r="D20" s="507" t="s">
        <v>117</v>
      </c>
      <c r="E20" s="507"/>
      <c r="F20" s="507"/>
      <c r="G20" s="507"/>
      <c r="H20" s="507"/>
      <c r="I20" s="507"/>
      <c r="J20" s="507"/>
    </row>
    <row r="21" spans="1:10" ht="30" customHeight="1" x14ac:dyDescent="0.25">
      <c r="A21" s="512"/>
      <c r="B21" s="513"/>
      <c r="C21" s="514"/>
      <c r="D21" s="507" t="s">
        <v>290</v>
      </c>
      <c r="E21" s="507"/>
      <c r="F21" s="507"/>
      <c r="G21" s="507"/>
      <c r="H21" s="507"/>
      <c r="I21" s="507"/>
      <c r="J21" s="507"/>
    </row>
    <row r="22" spans="1:10" ht="30" customHeight="1" x14ac:dyDescent="0.25">
      <c r="A22" s="515"/>
      <c r="B22" s="516"/>
      <c r="C22" s="517"/>
      <c r="D22" s="508" t="s">
        <v>100</v>
      </c>
      <c r="E22" s="508"/>
      <c r="F22" s="508"/>
      <c r="G22" s="508"/>
      <c r="H22" s="508"/>
      <c r="I22" s="508"/>
      <c r="J22" s="508"/>
    </row>
    <row r="23" spans="1:10" ht="3" customHeight="1" x14ac:dyDescent="0.25">
      <c r="A23" s="17"/>
      <c r="B23" s="17"/>
      <c r="C23" s="17"/>
      <c r="D23" s="17"/>
    </row>
    <row r="24" spans="1:10" ht="18.75" x14ac:dyDescent="0.25">
      <c r="A24" s="509" t="s">
        <v>58</v>
      </c>
      <c r="B24" s="509"/>
      <c r="C24" s="509"/>
      <c r="D24" s="509"/>
      <c r="E24" s="509"/>
      <c r="F24" s="509"/>
      <c r="G24" s="509"/>
      <c r="H24" s="509"/>
      <c r="I24" s="509"/>
      <c r="J24" s="509"/>
    </row>
    <row r="25" spans="1:10" ht="30" customHeight="1" x14ac:dyDescent="0.25">
      <c r="A25" s="521"/>
      <c r="B25" s="522"/>
      <c r="C25" s="523"/>
      <c r="D25" s="510" t="s">
        <v>61</v>
      </c>
      <c r="E25" s="510"/>
      <c r="F25" s="510"/>
      <c r="G25" s="510"/>
      <c r="H25" s="510"/>
      <c r="I25" s="510"/>
      <c r="J25" s="510"/>
    </row>
    <row r="26" spans="1:10" ht="30" customHeight="1" x14ac:dyDescent="0.25">
      <c r="A26" s="512"/>
      <c r="B26" s="513"/>
      <c r="C26" s="514"/>
      <c r="D26" s="511" t="s">
        <v>62</v>
      </c>
      <c r="E26" s="511"/>
      <c r="F26" s="511"/>
      <c r="G26" s="511"/>
      <c r="H26" s="511"/>
      <c r="I26" s="511"/>
      <c r="J26" s="511"/>
    </row>
    <row r="27" spans="1:10" ht="30" customHeight="1" x14ac:dyDescent="0.25">
      <c r="A27" s="512"/>
      <c r="B27" s="513"/>
      <c r="C27" s="514"/>
      <c r="D27" s="511" t="s">
        <v>65</v>
      </c>
      <c r="E27" s="511"/>
      <c r="F27" s="511"/>
      <c r="G27" s="511"/>
      <c r="H27" s="511"/>
      <c r="I27" s="511"/>
      <c r="J27" s="511"/>
    </row>
    <row r="28" spans="1:10" ht="30" customHeight="1" x14ac:dyDescent="0.25">
      <c r="A28" s="512"/>
      <c r="B28" s="513"/>
      <c r="C28" s="514"/>
      <c r="D28" s="511" t="s">
        <v>66</v>
      </c>
      <c r="E28" s="511"/>
      <c r="F28" s="511"/>
      <c r="G28" s="511"/>
      <c r="H28" s="511"/>
      <c r="I28" s="511"/>
      <c r="J28" s="511"/>
    </row>
    <row r="29" spans="1:10" ht="30" customHeight="1" x14ac:dyDescent="0.25">
      <c r="A29" s="512"/>
      <c r="B29" s="513"/>
      <c r="C29" s="514"/>
      <c r="D29" s="507" t="s">
        <v>99</v>
      </c>
      <c r="E29" s="507"/>
      <c r="F29" s="507"/>
      <c r="G29" s="507"/>
      <c r="H29" s="507"/>
      <c r="I29" s="507"/>
      <c r="J29" s="507"/>
    </row>
    <row r="30" spans="1:10" ht="30" customHeight="1" x14ac:dyDescent="0.25">
      <c r="A30" s="512"/>
      <c r="B30" s="513"/>
      <c r="C30" s="514"/>
      <c r="D30" s="507" t="s">
        <v>63</v>
      </c>
      <c r="E30" s="507"/>
      <c r="F30" s="507"/>
      <c r="G30" s="507"/>
      <c r="H30" s="507"/>
      <c r="I30" s="507"/>
      <c r="J30" s="507"/>
    </row>
    <row r="31" spans="1:10" ht="30" customHeight="1" x14ac:dyDescent="0.25">
      <c r="A31" s="515"/>
      <c r="B31" s="516"/>
      <c r="C31" s="517"/>
      <c r="D31" s="508" t="s">
        <v>387</v>
      </c>
      <c r="E31" s="508"/>
      <c r="F31" s="508"/>
      <c r="G31" s="508"/>
      <c r="H31" s="508"/>
      <c r="I31" s="508"/>
      <c r="J31" s="508"/>
    </row>
  </sheetData>
  <mergeCells count="51">
    <mergeCell ref="A19:C19"/>
    <mergeCell ref="A20:C20"/>
    <mergeCell ref="A21:C21"/>
    <mergeCell ref="A22:C22"/>
    <mergeCell ref="A25:C25"/>
    <mergeCell ref="A12:C12"/>
    <mergeCell ref="A13:C13"/>
    <mergeCell ref="A16:C16"/>
    <mergeCell ref="A17:C17"/>
    <mergeCell ref="A18:C18"/>
    <mergeCell ref="D21:J21"/>
    <mergeCell ref="D12:J12"/>
    <mergeCell ref="D13:J13"/>
    <mergeCell ref="D8:J8"/>
    <mergeCell ref="A1:J1"/>
    <mergeCell ref="A2:J2"/>
    <mergeCell ref="A4:J4"/>
    <mergeCell ref="A6:J6"/>
    <mergeCell ref="D7:J7"/>
    <mergeCell ref="A7:C7"/>
    <mergeCell ref="A8:C8"/>
    <mergeCell ref="A9:C9"/>
    <mergeCell ref="A10:C10"/>
    <mergeCell ref="A11:C11"/>
    <mergeCell ref="A14:C14"/>
    <mergeCell ref="A15:C15"/>
    <mergeCell ref="D16:J16"/>
    <mergeCell ref="D17:J17"/>
    <mergeCell ref="D18:J18"/>
    <mergeCell ref="D19:J19"/>
    <mergeCell ref="D20:J20"/>
    <mergeCell ref="D9:J9"/>
    <mergeCell ref="D10:J10"/>
    <mergeCell ref="D11:J11"/>
    <mergeCell ref="D14:J14"/>
    <mergeCell ref="D15:J15"/>
    <mergeCell ref="D29:J29"/>
    <mergeCell ref="D30:J30"/>
    <mergeCell ref="D31:J31"/>
    <mergeCell ref="D22:J22"/>
    <mergeCell ref="A24:J24"/>
    <mergeCell ref="D25:J25"/>
    <mergeCell ref="D26:J26"/>
    <mergeCell ref="D27:J27"/>
    <mergeCell ref="D28:J28"/>
    <mergeCell ref="A27:C27"/>
    <mergeCell ref="A28:C28"/>
    <mergeCell ref="A29:C29"/>
    <mergeCell ref="A30:C30"/>
    <mergeCell ref="A31:C31"/>
    <mergeCell ref="A26:C26"/>
  </mergeCells>
  <pageMargins left="0.39370078740157483" right="0.39370078740157483" top="0.39370078740157483" bottom="0.39370078740157483" header="0" footer="0.39370078740157483"/>
  <pageSetup paperSize="9" orientation="portrait" r:id="rId1"/>
  <headerFooter differentFirst="1">
    <oddFooter>Страница  &amp;P из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L58"/>
  <sheetViews>
    <sheetView view="pageBreakPreview" zoomScale="85" zoomScaleNormal="70" zoomScaleSheetLayoutView="85" zoomScalePageLayoutView="40" workbookViewId="0">
      <selection activeCell="A3" sqref="A3:J3"/>
    </sheetView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9" width="9.140625" style="15"/>
    <col min="10" max="10" width="8" style="15" customWidth="1"/>
    <col min="11" max="16384" width="9.140625" style="15"/>
  </cols>
  <sheetData>
    <row r="1" spans="1:12" ht="17.45" customHeight="1" x14ac:dyDescent="0.25">
      <c r="A1" s="2" t="s">
        <v>427</v>
      </c>
      <c r="B1" s="3"/>
      <c r="C1" s="4"/>
      <c r="D1" s="540" t="str">
        <f>НазваниеКраткое</f>
        <v>Западные ворота - 2017</v>
      </c>
      <c r="E1" s="541"/>
      <c r="F1" s="21" t="s">
        <v>8</v>
      </c>
      <c r="G1" s="22">
        <f>КВ1Расстояние</f>
        <v>87.18</v>
      </c>
    </row>
    <row r="2" spans="1:12" ht="17.45" customHeight="1" x14ac:dyDescent="0.25">
      <c r="A2" s="5"/>
      <c r="B2" s="6"/>
      <c r="C2" s="7"/>
      <c r="D2" s="540" t="str">
        <f>КВ0</f>
        <v>КВ-0 Старт</v>
      </c>
      <c r="E2" s="541"/>
      <c r="F2" s="21" t="s">
        <v>10</v>
      </c>
      <c r="G2" s="20">
        <f>КВ1Время</f>
        <v>105</v>
      </c>
    </row>
    <row r="3" spans="1:12" ht="17.45" customHeight="1" x14ac:dyDescent="0.25">
      <c r="A3" s="5"/>
      <c r="B3" s="6"/>
      <c r="C3" s="7"/>
      <c r="D3" s="540" t="str">
        <f>КВ1</f>
        <v>КВ-1 Борщевик</v>
      </c>
      <c r="E3" s="541"/>
      <c r="F3" s="21" t="s">
        <v>9</v>
      </c>
      <c r="G3" s="22">
        <f>КВ1Скорость</f>
        <v>49.82</v>
      </c>
    </row>
    <row r="4" spans="1:12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12" ht="240" customHeight="1" x14ac:dyDescent="0.25">
      <c r="A5" s="10">
        <v>1</v>
      </c>
      <c r="B5" s="166">
        <v>0</v>
      </c>
      <c r="C5" s="165">
        <v>0</v>
      </c>
      <c r="D5" s="542"/>
      <c r="E5" s="542"/>
      <c r="F5" s="542"/>
      <c r="G5" s="165">
        <f t="shared" ref="G5:G58" si="0">КВ1Расстояние-B5</f>
        <v>87.18</v>
      </c>
    </row>
    <row r="6" spans="1:12" ht="120" customHeight="1" x14ac:dyDescent="0.25">
      <c r="A6" s="10">
        <f>1+A5</f>
        <v>2</v>
      </c>
      <c r="B6" s="166">
        <v>0.17</v>
      </c>
      <c r="C6" s="165">
        <f t="shared" ref="C6:C58" si="1">B6-B5</f>
        <v>0.17</v>
      </c>
      <c r="D6" s="10"/>
      <c r="E6" s="530"/>
      <c r="F6" s="530"/>
      <c r="G6" s="165">
        <f t="shared" si="0"/>
        <v>87.01</v>
      </c>
    </row>
    <row r="7" spans="1:12" ht="120" customHeight="1" x14ac:dyDescent="0.25">
      <c r="A7" s="10">
        <f t="shared" ref="A7:A58" si="2">1+A6</f>
        <v>3</v>
      </c>
      <c r="B7" s="166">
        <v>0.79</v>
      </c>
      <c r="C7" s="165">
        <f t="shared" si="1"/>
        <v>0.62</v>
      </c>
      <c r="D7" s="10"/>
      <c r="E7" s="530"/>
      <c r="F7" s="530"/>
      <c r="G7" s="165">
        <f t="shared" si="0"/>
        <v>86.39</v>
      </c>
    </row>
    <row r="8" spans="1:12" ht="120" customHeight="1" x14ac:dyDescent="0.25">
      <c r="A8" s="10">
        <f t="shared" si="2"/>
        <v>4</v>
      </c>
      <c r="B8" s="166">
        <v>1.51</v>
      </c>
      <c r="C8" s="165">
        <f t="shared" si="1"/>
        <v>0.72</v>
      </c>
      <c r="D8" s="10"/>
      <c r="E8" s="530"/>
      <c r="F8" s="530"/>
      <c r="G8" s="165">
        <f t="shared" si="0"/>
        <v>85.67</v>
      </c>
    </row>
    <row r="9" spans="1:12" ht="120" customHeight="1" x14ac:dyDescent="0.25">
      <c r="A9" s="10">
        <f t="shared" si="2"/>
        <v>5</v>
      </c>
      <c r="B9" s="166">
        <v>2.39</v>
      </c>
      <c r="C9" s="165">
        <f t="shared" si="1"/>
        <v>0.88000000000000012</v>
      </c>
      <c r="D9" s="10"/>
      <c r="E9" s="531" t="s">
        <v>325</v>
      </c>
      <c r="F9" s="532"/>
      <c r="G9" s="165">
        <f t="shared" si="0"/>
        <v>84.79</v>
      </c>
    </row>
    <row r="10" spans="1:12" ht="120" customHeight="1" x14ac:dyDescent="0.25">
      <c r="A10" s="10">
        <f t="shared" si="2"/>
        <v>6</v>
      </c>
      <c r="B10" s="166">
        <v>8.33</v>
      </c>
      <c r="C10" s="165">
        <f t="shared" si="1"/>
        <v>5.9399999999999995</v>
      </c>
      <c r="D10" s="10"/>
      <c r="E10" s="530" t="s">
        <v>326</v>
      </c>
      <c r="F10" s="530"/>
      <c r="G10" s="165">
        <f t="shared" si="0"/>
        <v>78.850000000000009</v>
      </c>
    </row>
    <row r="11" spans="1:12" ht="120" customHeight="1" x14ac:dyDescent="0.25">
      <c r="A11" s="10">
        <f t="shared" si="2"/>
        <v>7</v>
      </c>
      <c r="B11" s="166">
        <v>9.52</v>
      </c>
      <c r="C11" s="166">
        <f t="shared" si="1"/>
        <v>1.1899999999999995</v>
      </c>
      <c r="D11" s="10"/>
      <c r="E11" s="530"/>
      <c r="F11" s="530"/>
      <c r="G11" s="165">
        <f t="shared" si="0"/>
        <v>77.660000000000011</v>
      </c>
    </row>
    <row r="12" spans="1:12" ht="39.950000000000003" customHeight="1" x14ac:dyDescent="0.25">
      <c r="A12" s="536" t="s">
        <v>428</v>
      </c>
      <c r="B12" s="537"/>
      <c r="C12" s="537"/>
      <c r="D12" s="537"/>
      <c r="E12" s="537"/>
      <c r="F12" s="537"/>
      <c r="G12" s="538"/>
    </row>
    <row r="13" spans="1:12" ht="159.94999999999999" customHeight="1" x14ac:dyDescent="0.25">
      <c r="A13" s="13"/>
      <c r="B13" s="414"/>
      <c r="C13" s="414"/>
      <c r="D13" s="180"/>
      <c r="E13" s="539"/>
      <c r="F13" s="539"/>
      <c r="G13" s="415"/>
    </row>
    <row r="14" spans="1:12" ht="159.94999999999999" customHeight="1" x14ac:dyDescent="0.25">
      <c r="A14" s="193"/>
      <c r="B14" s="411"/>
      <c r="C14" s="411"/>
      <c r="D14" s="191"/>
      <c r="E14" s="413"/>
      <c r="F14" s="413"/>
      <c r="G14" s="412"/>
    </row>
    <row r="15" spans="1:12" ht="120" customHeight="1" x14ac:dyDescent="0.25">
      <c r="A15" s="10">
        <f>1+A11</f>
        <v>8</v>
      </c>
      <c r="B15" s="166">
        <v>23.61</v>
      </c>
      <c r="C15" s="194"/>
      <c r="D15" s="10"/>
      <c r="E15" s="530"/>
      <c r="F15" s="530"/>
      <c r="G15" s="165">
        <f t="shared" si="0"/>
        <v>63.570000000000007</v>
      </c>
    </row>
    <row r="16" spans="1:12" ht="120" customHeight="1" x14ac:dyDescent="0.45">
      <c r="A16" s="10">
        <f t="shared" si="2"/>
        <v>9</v>
      </c>
      <c r="B16" s="14">
        <v>26.07</v>
      </c>
      <c r="C16" s="165">
        <f t="shared" si="1"/>
        <v>2.4600000000000009</v>
      </c>
      <c r="D16" s="10"/>
      <c r="E16" s="533" t="s">
        <v>327</v>
      </c>
      <c r="F16" s="534"/>
      <c r="G16" s="165">
        <f t="shared" si="0"/>
        <v>61.110000000000007</v>
      </c>
      <c r="I16" s="86"/>
      <c r="J16" s="15" t="s">
        <v>296</v>
      </c>
      <c r="L16" s="210"/>
    </row>
    <row r="17" spans="1:11" ht="120" customHeight="1" x14ac:dyDescent="0.25">
      <c r="A17" s="10">
        <f t="shared" si="2"/>
        <v>10</v>
      </c>
      <c r="B17" s="194">
        <v>28.43</v>
      </c>
      <c r="C17" s="194">
        <f t="shared" si="1"/>
        <v>2.3599999999999994</v>
      </c>
      <c r="D17" s="10"/>
      <c r="E17" s="535" t="s">
        <v>328</v>
      </c>
      <c r="F17" s="535"/>
      <c r="G17" s="194">
        <f t="shared" si="0"/>
        <v>58.750000000000007</v>
      </c>
      <c r="I17" s="86"/>
    </row>
    <row r="18" spans="1:11" ht="120" customHeight="1" x14ac:dyDescent="0.25">
      <c r="A18" s="10">
        <f t="shared" si="2"/>
        <v>11</v>
      </c>
      <c r="B18" s="194">
        <v>29.6</v>
      </c>
      <c r="C18" s="11">
        <f t="shared" si="1"/>
        <v>1.1700000000000017</v>
      </c>
      <c r="D18" s="10"/>
      <c r="E18" s="530"/>
      <c r="F18" s="530"/>
      <c r="G18" s="194">
        <f t="shared" si="0"/>
        <v>57.580000000000005</v>
      </c>
      <c r="I18" s="86"/>
    </row>
    <row r="19" spans="1:11" ht="120" customHeight="1" x14ac:dyDescent="0.25">
      <c r="A19" s="10">
        <f t="shared" si="2"/>
        <v>12</v>
      </c>
      <c r="B19" s="194">
        <v>30.45</v>
      </c>
      <c r="C19" s="14">
        <f t="shared" si="1"/>
        <v>0.84999999999999787</v>
      </c>
      <c r="D19" s="10"/>
      <c r="E19" s="530"/>
      <c r="F19" s="530"/>
      <c r="G19" s="194">
        <f t="shared" si="0"/>
        <v>56.730000000000004</v>
      </c>
      <c r="I19" s="86"/>
    </row>
    <row r="20" spans="1:11" ht="120" customHeight="1" x14ac:dyDescent="0.25">
      <c r="A20" s="10">
        <f t="shared" si="2"/>
        <v>13</v>
      </c>
      <c r="B20" s="194">
        <v>30.66</v>
      </c>
      <c r="C20" s="194">
        <f t="shared" si="1"/>
        <v>0.21000000000000085</v>
      </c>
      <c r="D20" s="10"/>
      <c r="E20" s="531"/>
      <c r="F20" s="532"/>
      <c r="G20" s="194">
        <f t="shared" si="0"/>
        <v>56.52000000000001</v>
      </c>
      <c r="I20" s="86"/>
    </row>
    <row r="21" spans="1:11" ht="120" customHeight="1" x14ac:dyDescent="0.25">
      <c r="A21" s="10">
        <f t="shared" si="2"/>
        <v>14</v>
      </c>
      <c r="B21" s="194">
        <v>34.44</v>
      </c>
      <c r="C21" s="194">
        <f t="shared" si="1"/>
        <v>3.7799999999999976</v>
      </c>
      <c r="D21" s="10"/>
      <c r="E21" s="531"/>
      <c r="F21" s="532"/>
      <c r="G21" s="194">
        <f t="shared" si="0"/>
        <v>52.740000000000009</v>
      </c>
      <c r="I21" s="86"/>
    </row>
    <row r="22" spans="1:11" ht="120" customHeight="1" x14ac:dyDescent="0.25">
      <c r="A22" s="10">
        <f t="shared" si="2"/>
        <v>15</v>
      </c>
      <c r="B22" s="194">
        <v>35.549999999999997</v>
      </c>
      <c r="C22" s="194">
        <f t="shared" si="1"/>
        <v>1.1099999999999994</v>
      </c>
      <c r="D22" s="10"/>
      <c r="E22" s="531"/>
      <c r="F22" s="532"/>
      <c r="G22" s="194">
        <f t="shared" si="0"/>
        <v>51.63000000000001</v>
      </c>
      <c r="I22" s="86"/>
    </row>
    <row r="23" spans="1:11" ht="120" customHeight="1" x14ac:dyDescent="0.25">
      <c r="A23" s="10">
        <f t="shared" si="2"/>
        <v>16</v>
      </c>
      <c r="B23" s="194">
        <v>37.85</v>
      </c>
      <c r="C23" s="166">
        <f t="shared" si="1"/>
        <v>2.3000000000000043</v>
      </c>
      <c r="D23" s="10"/>
      <c r="E23" s="531"/>
      <c r="F23" s="532"/>
      <c r="G23" s="194">
        <f t="shared" si="0"/>
        <v>49.330000000000005</v>
      </c>
      <c r="I23" s="86"/>
      <c r="J23" s="15" t="s">
        <v>323</v>
      </c>
    </row>
    <row r="24" spans="1:11" ht="120" customHeight="1" x14ac:dyDescent="0.35">
      <c r="A24" s="10">
        <f t="shared" si="2"/>
        <v>17</v>
      </c>
      <c r="B24" s="194">
        <v>38.22</v>
      </c>
      <c r="C24" s="166">
        <f t="shared" si="1"/>
        <v>0.36999999999999744</v>
      </c>
      <c r="D24" s="10"/>
      <c r="E24" s="533" t="s">
        <v>322</v>
      </c>
      <c r="F24" s="534"/>
      <c r="G24" s="194">
        <f t="shared" si="0"/>
        <v>48.960000000000008</v>
      </c>
      <c r="I24" s="86"/>
    </row>
    <row r="25" spans="1:11" ht="120" customHeight="1" x14ac:dyDescent="0.25">
      <c r="A25" s="10">
        <f t="shared" si="2"/>
        <v>18</v>
      </c>
      <c r="B25" s="194">
        <v>38.51</v>
      </c>
      <c r="C25" s="194">
        <f t="shared" si="1"/>
        <v>0.28999999999999915</v>
      </c>
      <c r="D25" s="10"/>
      <c r="E25" s="531"/>
      <c r="F25" s="532"/>
      <c r="G25" s="194">
        <f t="shared" si="0"/>
        <v>48.670000000000009</v>
      </c>
      <c r="I25" s="86"/>
    </row>
    <row r="26" spans="1:11" ht="120" customHeight="1" x14ac:dyDescent="0.25">
      <c r="A26" s="10">
        <f t="shared" si="2"/>
        <v>19</v>
      </c>
      <c r="B26" s="194">
        <v>40.090000000000003</v>
      </c>
      <c r="C26" s="194">
        <f t="shared" si="1"/>
        <v>1.5800000000000054</v>
      </c>
      <c r="D26" s="10"/>
      <c r="E26" s="531"/>
      <c r="F26" s="532"/>
      <c r="G26" s="194">
        <f t="shared" si="0"/>
        <v>47.09</v>
      </c>
      <c r="I26" s="86"/>
    </row>
    <row r="27" spans="1:11" ht="120" customHeight="1" x14ac:dyDescent="0.35">
      <c r="A27" s="10">
        <f t="shared" si="2"/>
        <v>20</v>
      </c>
      <c r="B27" s="14">
        <v>59.96</v>
      </c>
      <c r="C27" s="194">
        <f t="shared" si="1"/>
        <v>19.869999999999997</v>
      </c>
      <c r="D27" s="10"/>
      <c r="E27" s="533" t="s">
        <v>302</v>
      </c>
      <c r="F27" s="534"/>
      <c r="G27" s="165">
        <f t="shared" si="0"/>
        <v>27.220000000000006</v>
      </c>
      <c r="I27" s="86"/>
      <c r="K27" s="86"/>
    </row>
    <row r="28" spans="1:11" ht="120" customHeight="1" x14ac:dyDescent="0.35">
      <c r="A28" s="10">
        <f t="shared" si="2"/>
        <v>21</v>
      </c>
      <c r="B28" s="14">
        <v>61.33</v>
      </c>
      <c r="C28" s="14">
        <f t="shared" si="1"/>
        <v>1.3699999999999974</v>
      </c>
      <c r="D28" s="10"/>
      <c r="E28" s="545" t="s">
        <v>278</v>
      </c>
      <c r="F28" s="545"/>
      <c r="G28" s="165">
        <f t="shared" si="0"/>
        <v>25.850000000000009</v>
      </c>
      <c r="I28" s="86"/>
      <c r="K28" s="86"/>
    </row>
    <row r="29" spans="1:11" ht="120" customHeight="1" x14ac:dyDescent="0.25">
      <c r="A29" s="10">
        <f t="shared" si="2"/>
        <v>22</v>
      </c>
      <c r="B29" s="166">
        <v>68.48</v>
      </c>
      <c r="C29" s="14">
        <f t="shared" si="1"/>
        <v>7.1500000000000057</v>
      </c>
      <c r="D29" s="211"/>
      <c r="E29" s="530"/>
      <c r="F29" s="530"/>
      <c r="G29" s="165">
        <f t="shared" si="0"/>
        <v>18.700000000000003</v>
      </c>
      <c r="I29" s="86"/>
      <c r="K29" s="86"/>
    </row>
    <row r="30" spans="1:11" ht="120" customHeight="1" x14ac:dyDescent="0.25">
      <c r="A30" s="10">
        <f t="shared" si="2"/>
        <v>23</v>
      </c>
      <c r="B30" s="166">
        <v>70.819999999999993</v>
      </c>
      <c r="C30" s="14">
        <f t="shared" si="1"/>
        <v>2.3399999999999892</v>
      </c>
      <c r="D30" s="176"/>
      <c r="E30" s="530"/>
      <c r="F30" s="530"/>
      <c r="G30" s="165">
        <f t="shared" si="0"/>
        <v>16.360000000000014</v>
      </c>
      <c r="I30" s="86"/>
      <c r="K30" s="86"/>
    </row>
    <row r="31" spans="1:11" ht="120" customHeight="1" x14ac:dyDescent="0.35">
      <c r="A31" s="10">
        <f t="shared" si="2"/>
        <v>24</v>
      </c>
      <c r="B31" s="166">
        <v>71.59</v>
      </c>
      <c r="C31" s="11">
        <f t="shared" si="1"/>
        <v>0.77000000000001023</v>
      </c>
      <c r="D31" s="176"/>
      <c r="E31" s="545" t="str">
        <f>ДС2&amp;" Старт"&amp;CHAR(10)&amp;"Норма времени "&amp;ДС2Время&amp;"''"</f>
        <v>ДС-2 РУ Старт
Норма времени 570''</v>
      </c>
      <c r="F31" s="545"/>
      <c r="G31" s="165">
        <f t="shared" si="0"/>
        <v>15.590000000000003</v>
      </c>
      <c r="I31" s="86"/>
      <c r="J31" s="15" t="s">
        <v>300</v>
      </c>
    </row>
    <row r="32" spans="1:11" ht="39.950000000000003" customHeight="1" x14ac:dyDescent="0.25">
      <c r="A32" s="10">
        <f t="shared" si="2"/>
        <v>25</v>
      </c>
      <c r="B32" s="166">
        <v>71.66</v>
      </c>
      <c r="C32" s="11">
        <f t="shared" si="1"/>
        <v>6.9999999999993179E-2</v>
      </c>
      <c r="D32" s="222"/>
      <c r="E32" s="530"/>
      <c r="F32" s="530"/>
      <c r="G32" s="165">
        <f t="shared" si="0"/>
        <v>15.52000000000001</v>
      </c>
      <c r="I32" s="86"/>
      <c r="J32" s="15" t="s">
        <v>301</v>
      </c>
    </row>
    <row r="33" spans="1:9" ht="39.950000000000003" customHeight="1" x14ac:dyDescent="0.25">
      <c r="A33" s="10">
        <f t="shared" si="2"/>
        <v>26</v>
      </c>
      <c r="B33" s="166">
        <v>72.05</v>
      </c>
      <c r="C33" s="11">
        <f t="shared" si="1"/>
        <v>0.39000000000000057</v>
      </c>
      <c r="D33" s="228"/>
      <c r="E33" s="530"/>
      <c r="F33" s="530"/>
      <c r="G33" s="165">
        <f t="shared" si="0"/>
        <v>15.13000000000001</v>
      </c>
      <c r="I33" s="86"/>
    </row>
    <row r="34" spans="1:9" ht="39.950000000000003" customHeight="1" x14ac:dyDescent="0.25">
      <c r="A34" s="10">
        <f t="shared" si="2"/>
        <v>27</v>
      </c>
      <c r="B34" s="166">
        <v>72.44</v>
      </c>
      <c r="C34" s="11">
        <f t="shared" si="1"/>
        <v>0.39000000000000057</v>
      </c>
      <c r="D34" s="228"/>
      <c r="E34" s="530"/>
      <c r="F34" s="530"/>
      <c r="G34" s="165">
        <f t="shared" si="0"/>
        <v>14.740000000000009</v>
      </c>
      <c r="I34" s="86"/>
    </row>
    <row r="35" spans="1:9" ht="39.950000000000003" customHeight="1" x14ac:dyDescent="0.25">
      <c r="A35" s="10">
        <f t="shared" si="2"/>
        <v>28</v>
      </c>
      <c r="B35" s="166">
        <v>73.73</v>
      </c>
      <c r="C35" s="11">
        <f t="shared" si="1"/>
        <v>1.2900000000000063</v>
      </c>
      <c r="D35" s="228"/>
      <c r="E35" s="530"/>
      <c r="F35" s="530"/>
      <c r="G35" s="165">
        <f t="shared" si="0"/>
        <v>13.450000000000003</v>
      </c>
      <c r="I35" s="86"/>
    </row>
    <row r="36" spans="1:9" ht="39.950000000000003" customHeight="1" x14ac:dyDescent="0.25">
      <c r="A36" s="10">
        <f t="shared" si="2"/>
        <v>29</v>
      </c>
      <c r="B36" s="166">
        <v>74.02</v>
      </c>
      <c r="C36" s="11">
        <f t="shared" si="1"/>
        <v>0.28999999999999204</v>
      </c>
      <c r="D36" s="228"/>
      <c r="E36" s="543" t="s">
        <v>288</v>
      </c>
      <c r="F36" s="544"/>
      <c r="G36" s="165">
        <f t="shared" si="0"/>
        <v>13.160000000000011</v>
      </c>
      <c r="I36" s="86"/>
    </row>
    <row r="37" spans="1:9" ht="39.950000000000003" customHeight="1" x14ac:dyDescent="0.25">
      <c r="A37" s="10">
        <f t="shared" si="2"/>
        <v>30</v>
      </c>
      <c r="B37" s="166">
        <v>74.150000000000006</v>
      </c>
      <c r="C37" s="11">
        <f t="shared" si="1"/>
        <v>0.13000000000000966</v>
      </c>
      <c r="D37" s="228"/>
      <c r="E37" s="530"/>
      <c r="F37" s="530"/>
      <c r="G37" s="165">
        <f t="shared" si="0"/>
        <v>13.030000000000001</v>
      </c>
      <c r="I37" s="86"/>
    </row>
    <row r="38" spans="1:9" ht="39.950000000000003" customHeight="1" x14ac:dyDescent="0.25">
      <c r="A38" s="10">
        <f t="shared" si="2"/>
        <v>31</v>
      </c>
      <c r="B38" s="166">
        <v>74.28</v>
      </c>
      <c r="C38" s="11">
        <f t="shared" si="1"/>
        <v>0.12999999999999545</v>
      </c>
      <c r="D38" s="228"/>
      <c r="E38" s="530"/>
      <c r="F38" s="530"/>
      <c r="G38" s="165">
        <f t="shared" si="0"/>
        <v>12.900000000000006</v>
      </c>
      <c r="I38" s="86"/>
    </row>
    <row r="39" spans="1:9" ht="39.950000000000003" customHeight="1" x14ac:dyDescent="0.25">
      <c r="A39" s="10">
        <f t="shared" si="2"/>
        <v>32</v>
      </c>
      <c r="B39" s="166">
        <v>74.84</v>
      </c>
      <c r="C39" s="11">
        <f t="shared" si="1"/>
        <v>0.56000000000000227</v>
      </c>
      <c r="D39" s="228"/>
      <c r="E39" s="530"/>
      <c r="F39" s="530"/>
      <c r="G39" s="165">
        <f t="shared" si="0"/>
        <v>12.340000000000003</v>
      </c>
      <c r="I39" s="86"/>
    </row>
    <row r="40" spans="1:9" ht="39.950000000000003" customHeight="1" x14ac:dyDescent="0.25">
      <c r="A40" s="10">
        <f t="shared" si="2"/>
        <v>33</v>
      </c>
      <c r="B40" s="166">
        <v>75.010000000000005</v>
      </c>
      <c r="C40" s="11">
        <f t="shared" si="1"/>
        <v>0.17000000000000171</v>
      </c>
      <c r="D40" s="228"/>
      <c r="E40" s="530"/>
      <c r="F40" s="530"/>
      <c r="G40" s="165">
        <f t="shared" si="0"/>
        <v>12.170000000000002</v>
      </c>
      <c r="I40" s="86"/>
    </row>
    <row r="41" spans="1:9" ht="39.950000000000003" customHeight="1" x14ac:dyDescent="0.25">
      <c r="A41" s="10">
        <f t="shared" si="2"/>
        <v>34</v>
      </c>
      <c r="B41" s="166">
        <v>75.39</v>
      </c>
      <c r="C41" s="11">
        <f t="shared" si="1"/>
        <v>0.37999999999999545</v>
      </c>
      <c r="D41" s="400"/>
      <c r="E41" s="546" t="s">
        <v>422</v>
      </c>
      <c r="F41" s="546"/>
      <c r="G41" s="165">
        <f t="shared" si="0"/>
        <v>11.790000000000006</v>
      </c>
      <c r="I41" s="86"/>
    </row>
    <row r="42" spans="1:9" ht="39.950000000000003" customHeight="1" x14ac:dyDescent="0.25">
      <c r="A42" s="10">
        <f t="shared" si="2"/>
        <v>35</v>
      </c>
      <c r="B42" s="166">
        <v>76.37</v>
      </c>
      <c r="C42" s="11">
        <f t="shared" si="1"/>
        <v>0.98000000000000398</v>
      </c>
      <c r="D42" s="228"/>
      <c r="E42" s="549" t="s">
        <v>288</v>
      </c>
      <c r="F42" s="549"/>
      <c r="G42" s="165">
        <f t="shared" si="0"/>
        <v>10.810000000000002</v>
      </c>
      <c r="I42" s="86"/>
    </row>
    <row r="43" spans="1:9" ht="39.950000000000003" customHeight="1" x14ac:dyDescent="0.25">
      <c r="A43" s="10">
        <f t="shared" si="2"/>
        <v>36</v>
      </c>
      <c r="B43" s="166">
        <v>76.77</v>
      </c>
      <c r="C43" s="11">
        <f t="shared" si="1"/>
        <v>0.39999999999999147</v>
      </c>
      <c r="D43" s="228"/>
      <c r="E43" s="530"/>
      <c r="F43" s="530"/>
      <c r="G43" s="165">
        <f t="shared" si="0"/>
        <v>10.410000000000011</v>
      </c>
      <c r="I43" s="86"/>
    </row>
    <row r="44" spans="1:9" ht="39.950000000000003" customHeight="1" x14ac:dyDescent="0.25">
      <c r="A44" s="10">
        <f t="shared" si="2"/>
        <v>37</v>
      </c>
      <c r="B44" s="166">
        <v>77.31</v>
      </c>
      <c r="C44" s="11">
        <f t="shared" si="1"/>
        <v>0.54000000000000625</v>
      </c>
      <c r="D44" s="228"/>
      <c r="E44" s="543" t="s">
        <v>288</v>
      </c>
      <c r="F44" s="544"/>
      <c r="G44" s="165">
        <f t="shared" si="0"/>
        <v>9.8700000000000045</v>
      </c>
      <c r="I44" s="86"/>
    </row>
    <row r="45" spans="1:9" ht="39.950000000000003" customHeight="1" x14ac:dyDescent="0.25">
      <c r="A45" s="10">
        <f t="shared" si="2"/>
        <v>38</v>
      </c>
      <c r="B45" s="166">
        <v>77.489999999999995</v>
      </c>
      <c r="C45" s="11">
        <f t="shared" si="1"/>
        <v>0.17999999999999261</v>
      </c>
      <c r="D45" s="228"/>
      <c r="E45" s="543"/>
      <c r="F45" s="544"/>
      <c r="G45" s="165">
        <f t="shared" si="0"/>
        <v>9.6900000000000119</v>
      </c>
      <c r="I45" s="86"/>
    </row>
    <row r="46" spans="1:9" ht="39.950000000000003" customHeight="1" x14ac:dyDescent="0.25">
      <c r="A46" s="10">
        <f t="shared" si="2"/>
        <v>39</v>
      </c>
      <c r="B46" s="166">
        <v>78.08</v>
      </c>
      <c r="C46" s="11">
        <f t="shared" si="1"/>
        <v>0.59000000000000341</v>
      </c>
      <c r="D46" s="228"/>
      <c r="E46" s="530"/>
      <c r="F46" s="530"/>
      <c r="G46" s="165">
        <f t="shared" si="0"/>
        <v>9.1000000000000085</v>
      </c>
      <c r="I46" s="86"/>
    </row>
    <row r="47" spans="1:9" ht="39.950000000000003" customHeight="1" x14ac:dyDescent="0.25">
      <c r="A47" s="10">
        <f t="shared" si="2"/>
        <v>40</v>
      </c>
      <c r="B47" s="166">
        <v>78.66</v>
      </c>
      <c r="C47" s="11">
        <f t="shared" si="1"/>
        <v>0.57999999999999829</v>
      </c>
      <c r="D47" s="228"/>
      <c r="E47" s="530"/>
      <c r="F47" s="530"/>
      <c r="G47" s="165">
        <f t="shared" si="0"/>
        <v>8.5200000000000102</v>
      </c>
      <c r="I47" s="86"/>
    </row>
    <row r="48" spans="1:9" ht="39.950000000000003" customHeight="1" x14ac:dyDescent="0.25">
      <c r="A48" s="10">
        <f t="shared" si="2"/>
        <v>41</v>
      </c>
      <c r="B48" s="166">
        <v>79.05</v>
      </c>
      <c r="C48" s="11">
        <f t="shared" si="1"/>
        <v>0.39000000000000057</v>
      </c>
      <c r="D48" s="228"/>
      <c r="E48" s="530"/>
      <c r="F48" s="530"/>
      <c r="G48" s="165">
        <f t="shared" si="0"/>
        <v>8.1300000000000097</v>
      </c>
      <c r="I48" s="86"/>
    </row>
    <row r="49" spans="1:10" ht="39.950000000000003" customHeight="1" x14ac:dyDescent="0.25">
      <c r="A49" s="10">
        <f t="shared" si="2"/>
        <v>42</v>
      </c>
      <c r="B49" s="166">
        <v>79.56</v>
      </c>
      <c r="C49" s="11">
        <f t="shared" si="1"/>
        <v>0.51000000000000512</v>
      </c>
      <c r="D49" s="228"/>
      <c r="E49" s="530"/>
      <c r="F49" s="530"/>
      <c r="G49" s="165">
        <f t="shared" si="0"/>
        <v>7.6200000000000045</v>
      </c>
      <c r="I49" s="86"/>
    </row>
    <row r="50" spans="1:10" ht="39.950000000000003" customHeight="1" x14ac:dyDescent="0.25">
      <c r="A50" s="10">
        <f t="shared" si="2"/>
        <v>43</v>
      </c>
      <c r="B50" s="166">
        <v>79.97</v>
      </c>
      <c r="C50" s="11">
        <f t="shared" si="1"/>
        <v>0.40999999999999659</v>
      </c>
      <c r="D50" s="228"/>
      <c r="E50" s="530"/>
      <c r="F50" s="530"/>
      <c r="G50" s="165">
        <f t="shared" si="0"/>
        <v>7.210000000000008</v>
      </c>
      <c r="I50" s="86"/>
    </row>
    <row r="51" spans="1:10" ht="39.950000000000003" customHeight="1" x14ac:dyDescent="0.25">
      <c r="A51" s="10">
        <f t="shared" si="2"/>
        <v>44</v>
      </c>
      <c r="B51" s="166">
        <v>80.22</v>
      </c>
      <c r="C51" s="11">
        <f t="shared" si="1"/>
        <v>0.25</v>
      </c>
      <c r="D51" s="228"/>
      <c r="E51" s="530"/>
      <c r="F51" s="530"/>
      <c r="G51" s="165">
        <f t="shared" si="0"/>
        <v>6.960000000000008</v>
      </c>
      <c r="I51" s="86"/>
    </row>
    <row r="52" spans="1:10" ht="39.950000000000003" customHeight="1" x14ac:dyDescent="0.25">
      <c r="A52" s="10">
        <f t="shared" si="2"/>
        <v>45</v>
      </c>
      <c r="B52" s="166">
        <v>80.55</v>
      </c>
      <c r="C52" s="11">
        <f t="shared" si="1"/>
        <v>0.32999999999999829</v>
      </c>
      <c r="D52" s="228"/>
      <c r="E52" s="530"/>
      <c r="F52" s="530"/>
      <c r="G52" s="165">
        <f t="shared" si="0"/>
        <v>6.6300000000000097</v>
      </c>
      <c r="I52" s="86"/>
    </row>
    <row r="53" spans="1:10" ht="120" customHeight="1" x14ac:dyDescent="0.35">
      <c r="A53" s="10">
        <f t="shared" si="2"/>
        <v>46</v>
      </c>
      <c r="B53" s="14">
        <v>80.650000000000006</v>
      </c>
      <c r="C53" s="11">
        <f t="shared" si="1"/>
        <v>0.10000000000000853</v>
      </c>
      <c r="D53" s="176"/>
      <c r="E53" s="545" t="str">
        <f>ДС2&amp;" Финиш !!!БЕСКОНТАКТНЫЙ!!!"</f>
        <v>ДС-2 РУ Финиш !!!БЕСКОНТАКТНЫЙ!!!</v>
      </c>
      <c r="F53" s="545"/>
      <c r="G53" s="165">
        <f t="shared" si="0"/>
        <v>6.5300000000000011</v>
      </c>
      <c r="I53" s="15" t="s">
        <v>297</v>
      </c>
      <c r="J53" s="86" t="s">
        <v>298</v>
      </c>
    </row>
    <row r="54" spans="1:10" ht="120" customHeight="1" x14ac:dyDescent="0.25">
      <c r="A54" s="10">
        <f t="shared" si="2"/>
        <v>47</v>
      </c>
      <c r="B54" s="166">
        <v>83.05</v>
      </c>
      <c r="C54" s="166">
        <f t="shared" si="1"/>
        <v>2.3999999999999915</v>
      </c>
      <c r="D54" s="10"/>
      <c r="E54" s="548"/>
      <c r="F54" s="548"/>
      <c r="G54" s="165">
        <f t="shared" si="0"/>
        <v>4.1300000000000097</v>
      </c>
      <c r="I54" s="86"/>
      <c r="J54" s="86" t="s">
        <v>299</v>
      </c>
    </row>
    <row r="55" spans="1:10" ht="120" customHeight="1" x14ac:dyDescent="0.25">
      <c r="A55" s="10">
        <f t="shared" si="2"/>
        <v>48</v>
      </c>
      <c r="B55" s="166">
        <v>84.38</v>
      </c>
      <c r="C55" s="166">
        <f t="shared" si="1"/>
        <v>1.3299999999999983</v>
      </c>
      <c r="D55" s="10"/>
      <c r="E55" s="547"/>
      <c r="F55" s="547"/>
      <c r="G55" s="165">
        <f t="shared" si="0"/>
        <v>2.8000000000000114</v>
      </c>
      <c r="I55" s="86"/>
    </row>
    <row r="56" spans="1:10" ht="120" customHeight="1" x14ac:dyDescent="0.25">
      <c r="A56" s="10">
        <f t="shared" si="2"/>
        <v>49</v>
      </c>
      <c r="B56" s="194">
        <v>85.5</v>
      </c>
      <c r="C56" s="194">
        <f t="shared" si="1"/>
        <v>1.1200000000000045</v>
      </c>
      <c r="D56" s="10"/>
      <c r="E56" s="530"/>
      <c r="F56" s="530"/>
      <c r="G56" s="194">
        <f t="shared" si="0"/>
        <v>1.6800000000000068</v>
      </c>
      <c r="I56" s="86"/>
    </row>
    <row r="57" spans="1:10" ht="120" customHeight="1" x14ac:dyDescent="0.25">
      <c r="A57" s="10">
        <f t="shared" si="2"/>
        <v>50</v>
      </c>
      <c r="B57" s="194">
        <v>85.74</v>
      </c>
      <c r="C57" s="166">
        <f t="shared" si="1"/>
        <v>0.23999999999999488</v>
      </c>
      <c r="D57" s="10"/>
      <c r="E57" s="530"/>
      <c r="F57" s="547"/>
      <c r="G57" s="194">
        <f t="shared" si="0"/>
        <v>1.4400000000000119</v>
      </c>
      <c r="I57" s="86"/>
    </row>
    <row r="58" spans="1:10" ht="120" customHeight="1" x14ac:dyDescent="0.35">
      <c r="A58" s="10">
        <f t="shared" si="2"/>
        <v>51</v>
      </c>
      <c r="B58" s="166">
        <v>87.18</v>
      </c>
      <c r="C58" s="166">
        <f t="shared" si="1"/>
        <v>1.4400000000000119</v>
      </c>
      <c r="D58" s="176"/>
      <c r="E58" s="545" t="str">
        <f>КВ1</f>
        <v>КВ-1 Борщевик</v>
      </c>
      <c r="F58" s="545"/>
      <c r="G58" s="165">
        <f t="shared" si="0"/>
        <v>0</v>
      </c>
      <c r="I58" s="86"/>
      <c r="J58" s="15" t="s">
        <v>305</v>
      </c>
    </row>
  </sheetData>
  <mergeCells count="57">
    <mergeCell ref="E27:F27"/>
    <mergeCell ref="E34:F34"/>
    <mergeCell ref="E57:F57"/>
    <mergeCell ref="E58:F58"/>
    <mergeCell ref="E53:F53"/>
    <mergeCell ref="E54:F54"/>
    <mergeCell ref="E47:F47"/>
    <mergeCell ref="E48:F48"/>
    <mergeCell ref="E49:F49"/>
    <mergeCell ref="E50:F50"/>
    <mergeCell ref="E51:F51"/>
    <mergeCell ref="E56:F56"/>
    <mergeCell ref="E43:F43"/>
    <mergeCell ref="E55:F55"/>
    <mergeCell ref="E42:F42"/>
    <mergeCell ref="E28:F28"/>
    <mergeCell ref="E29:F29"/>
    <mergeCell ref="E30:F30"/>
    <mergeCell ref="E45:F45"/>
    <mergeCell ref="E46:F46"/>
    <mergeCell ref="E52:F52"/>
    <mergeCell ref="E44:F44"/>
    <mergeCell ref="E31:F31"/>
    <mergeCell ref="E36:F36"/>
    <mergeCell ref="E35:F35"/>
    <mergeCell ref="E37:F37"/>
    <mergeCell ref="E38:F38"/>
    <mergeCell ref="E39:F39"/>
    <mergeCell ref="E40:F40"/>
    <mergeCell ref="E32:F32"/>
    <mergeCell ref="E33:F33"/>
    <mergeCell ref="E41:F41"/>
    <mergeCell ref="D1:E1"/>
    <mergeCell ref="D2:E2"/>
    <mergeCell ref="D3:E3"/>
    <mergeCell ref="E4:F4"/>
    <mergeCell ref="E6:F6"/>
    <mergeCell ref="D5:F5"/>
    <mergeCell ref="A12:G12"/>
    <mergeCell ref="E20:F20"/>
    <mergeCell ref="E21:F21"/>
    <mergeCell ref="E22:F22"/>
    <mergeCell ref="E23:F23"/>
    <mergeCell ref="E15:F15"/>
    <mergeCell ref="E13:F13"/>
    <mergeCell ref="E16:F16"/>
    <mergeCell ref="E26:F26"/>
    <mergeCell ref="E24:F24"/>
    <mergeCell ref="E25:F25"/>
    <mergeCell ref="E17:F17"/>
    <mergeCell ref="E18:F18"/>
    <mergeCell ref="E19:F19"/>
    <mergeCell ref="E7:F7"/>
    <mergeCell ref="E8:F8"/>
    <mergeCell ref="E9:F9"/>
    <mergeCell ref="E10:F10"/>
    <mergeCell ref="E11:F11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J43"/>
  <sheetViews>
    <sheetView view="pageBreakPreview" zoomScale="85" zoomScaleNormal="70" zoomScaleSheetLayoutView="85" zoomScalePageLayoutView="40" workbookViewId="0">
      <selection activeCell="A3" sqref="A3:J3"/>
    </sheetView>
  </sheetViews>
  <sheetFormatPr defaultRowHeight="15" x14ac:dyDescent="0.25"/>
  <cols>
    <col min="1" max="1" width="5.7109375" style="15" customWidth="1"/>
    <col min="2" max="3" width="8.7109375" style="15" customWidth="1"/>
    <col min="4" max="4" width="23.7109375" style="15" customWidth="1"/>
    <col min="5" max="5" width="20.7109375" style="15" customWidth="1"/>
    <col min="6" max="6" width="16.7109375" style="15" customWidth="1"/>
    <col min="7" max="7" width="9.28515625" style="15" customWidth="1"/>
    <col min="8" max="9" width="9.140625" style="15"/>
    <col min="10" max="10" width="8" style="15" customWidth="1"/>
    <col min="11" max="16384" width="9.140625" style="15"/>
  </cols>
  <sheetData>
    <row r="1" spans="1:10" ht="17.45" customHeight="1" x14ac:dyDescent="0.25">
      <c r="A1" s="2"/>
      <c r="B1" s="3"/>
      <c r="C1" s="4"/>
      <c r="D1" s="540" t="str">
        <f>НазваниеКраткое</f>
        <v>Западные ворота - 2017</v>
      </c>
      <c r="E1" s="541"/>
      <c r="F1" s="21" t="s">
        <v>8</v>
      </c>
      <c r="G1" s="22">
        <f>КВ2Расстояние</f>
        <v>136.75</v>
      </c>
    </row>
    <row r="2" spans="1:10" ht="17.45" customHeight="1" x14ac:dyDescent="0.25">
      <c r="A2" s="5"/>
      <c r="B2" s="6"/>
      <c r="C2" s="7"/>
      <c r="D2" s="540" t="str">
        <f>КВ1</f>
        <v>КВ-1 Борщевик</v>
      </c>
      <c r="E2" s="541"/>
      <c r="F2" s="21" t="s">
        <v>10</v>
      </c>
      <c r="G2" s="20">
        <f>КВ2Время</f>
        <v>140</v>
      </c>
    </row>
    <row r="3" spans="1:10" ht="17.45" customHeight="1" x14ac:dyDescent="0.25">
      <c r="A3" s="5"/>
      <c r="B3" s="6"/>
      <c r="C3" s="7"/>
      <c r="D3" s="540" t="str">
        <f>КВ2</f>
        <v>КВ-2 ПКАД</v>
      </c>
      <c r="E3" s="541"/>
      <c r="F3" s="21" t="s">
        <v>9</v>
      </c>
      <c r="G3" s="22">
        <f>КВ2Скорость</f>
        <v>58.61</v>
      </c>
    </row>
    <row r="4" spans="1:10" ht="17.45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460" t="s">
        <v>4</v>
      </c>
      <c r="F4" s="461"/>
      <c r="G4" s="1" t="s">
        <v>5</v>
      </c>
    </row>
    <row r="5" spans="1:10" ht="120" customHeight="1" x14ac:dyDescent="0.35">
      <c r="A5" s="10">
        <v>1</v>
      </c>
      <c r="B5" s="14">
        <v>0</v>
      </c>
      <c r="C5" s="11">
        <v>0</v>
      </c>
      <c r="D5" s="228"/>
      <c r="E5" s="545" t="str">
        <f>КВ1</f>
        <v>КВ-1 Борщевик</v>
      </c>
      <c r="F5" s="545"/>
      <c r="G5" s="11">
        <f t="shared" ref="G5:G43" si="0">КВ2Расстояние-B5</f>
        <v>136.75</v>
      </c>
    </row>
    <row r="6" spans="1:10" ht="120" customHeight="1" x14ac:dyDescent="0.25">
      <c r="A6" s="10">
        <f t="shared" ref="A6:A43" si="1">1+A5</f>
        <v>2</v>
      </c>
      <c r="B6" s="14">
        <v>7.0000000000000007E-2</v>
      </c>
      <c r="C6" s="166">
        <f t="shared" ref="C6:C43" si="2">B6-B5</f>
        <v>7.0000000000000007E-2</v>
      </c>
      <c r="D6" s="10"/>
      <c r="E6" s="535"/>
      <c r="F6" s="535"/>
      <c r="G6" s="11">
        <f t="shared" si="0"/>
        <v>136.68</v>
      </c>
      <c r="I6" s="15" t="s">
        <v>310</v>
      </c>
    </row>
    <row r="7" spans="1:10" ht="120" customHeight="1" x14ac:dyDescent="0.25">
      <c r="A7" s="10">
        <f t="shared" si="1"/>
        <v>3</v>
      </c>
      <c r="B7" s="194">
        <v>10.63</v>
      </c>
      <c r="C7" s="194">
        <f t="shared" si="2"/>
        <v>10.56</v>
      </c>
      <c r="D7" s="10"/>
      <c r="E7" s="530"/>
      <c r="F7" s="530"/>
      <c r="G7" s="194">
        <f t="shared" si="0"/>
        <v>126.12</v>
      </c>
      <c r="J7"/>
    </row>
    <row r="8" spans="1:10" ht="120" customHeight="1" x14ac:dyDescent="0.25">
      <c r="A8" s="10">
        <f t="shared" si="1"/>
        <v>4</v>
      </c>
      <c r="B8" s="194">
        <v>11.25</v>
      </c>
      <c r="C8" s="194">
        <f t="shared" si="2"/>
        <v>0.61999999999999922</v>
      </c>
      <c r="D8" s="10"/>
      <c r="E8" s="530"/>
      <c r="F8" s="530"/>
      <c r="G8" s="194">
        <f t="shared" si="0"/>
        <v>125.5</v>
      </c>
    </row>
    <row r="9" spans="1:10" ht="120" customHeight="1" x14ac:dyDescent="0.25">
      <c r="A9" s="10">
        <f t="shared" si="1"/>
        <v>5</v>
      </c>
      <c r="B9" s="194">
        <v>19.7</v>
      </c>
      <c r="C9" s="166">
        <f t="shared" si="2"/>
        <v>8.4499999999999993</v>
      </c>
      <c r="D9" s="10"/>
      <c r="E9" s="530"/>
      <c r="F9" s="530"/>
      <c r="G9" s="194">
        <f t="shared" si="0"/>
        <v>117.05</v>
      </c>
    </row>
    <row r="10" spans="1:10" ht="120" customHeight="1" x14ac:dyDescent="0.25">
      <c r="A10" s="10">
        <f t="shared" si="1"/>
        <v>6</v>
      </c>
      <c r="B10" s="194">
        <v>31.58</v>
      </c>
      <c r="C10" s="166">
        <f t="shared" si="2"/>
        <v>11.879999999999999</v>
      </c>
      <c r="D10" s="176"/>
      <c r="E10" s="530"/>
      <c r="F10" s="530"/>
      <c r="G10" s="194">
        <f t="shared" si="0"/>
        <v>105.17</v>
      </c>
    </row>
    <row r="11" spans="1:10" ht="120" customHeight="1" x14ac:dyDescent="0.35">
      <c r="A11" s="10">
        <f t="shared" si="1"/>
        <v>7</v>
      </c>
      <c r="B11" s="14">
        <v>32.06</v>
      </c>
      <c r="C11" s="194">
        <f t="shared" si="2"/>
        <v>0.48000000000000398</v>
      </c>
      <c r="D11" s="176"/>
      <c r="E11" s="545" t="str">
        <f>ДС3&amp;" Старт"&amp;CHAR(10)&amp;"Норма времени "&amp;ДС3Время&amp;"''"</f>
        <v>ДС-3 РУ Старт
Норма времени 670''</v>
      </c>
      <c r="F11" s="545"/>
      <c r="G11" s="11">
        <f t="shared" si="0"/>
        <v>104.69</v>
      </c>
    </row>
    <row r="12" spans="1:10" ht="39.950000000000003" customHeight="1" x14ac:dyDescent="0.25">
      <c r="A12" s="10">
        <f t="shared" si="1"/>
        <v>8</v>
      </c>
      <c r="B12" s="14">
        <v>36.51</v>
      </c>
      <c r="C12" s="14">
        <f t="shared" si="2"/>
        <v>4.4499999999999957</v>
      </c>
      <c r="D12" s="228"/>
      <c r="E12" s="530"/>
      <c r="F12" s="530"/>
      <c r="G12" s="11">
        <f t="shared" si="0"/>
        <v>100.24000000000001</v>
      </c>
    </row>
    <row r="13" spans="1:10" ht="39.950000000000003" customHeight="1" x14ac:dyDescent="0.25">
      <c r="A13" s="10">
        <f t="shared" si="1"/>
        <v>9</v>
      </c>
      <c r="B13" s="14">
        <v>38.18</v>
      </c>
      <c r="C13" s="14">
        <f t="shared" si="2"/>
        <v>1.6700000000000017</v>
      </c>
      <c r="D13" s="228"/>
      <c r="E13" s="546" t="s">
        <v>422</v>
      </c>
      <c r="F13" s="546"/>
      <c r="G13" s="11">
        <f t="shared" si="0"/>
        <v>98.57</v>
      </c>
    </row>
    <row r="14" spans="1:10" ht="39.950000000000003" customHeight="1" x14ac:dyDescent="0.25">
      <c r="A14" s="10">
        <f t="shared" si="1"/>
        <v>10</v>
      </c>
      <c r="B14" s="14">
        <v>38.61</v>
      </c>
      <c r="C14" s="14">
        <f t="shared" si="2"/>
        <v>0.42999999999999972</v>
      </c>
      <c r="D14" s="228"/>
      <c r="E14" s="546" t="s">
        <v>426</v>
      </c>
      <c r="F14" s="546"/>
      <c r="G14" s="11">
        <f t="shared" si="0"/>
        <v>98.14</v>
      </c>
    </row>
    <row r="15" spans="1:10" ht="39.950000000000003" customHeight="1" x14ac:dyDescent="0.25">
      <c r="A15" s="10">
        <f t="shared" si="1"/>
        <v>11</v>
      </c>
      <c r="B15" s="14">
        <v>39.159999999999997</v>
      </c>
      <c r="C15" s="14">
        <f t="shared" si="2"/>
        <v>0.54999999999999716</v>
      </c>
      <c r="D15" s="228"/>
      <c r="E15" s="530"/>
      <c r="F15" s="530"/>
      <c r="G15" s="11">
        <f t="shared" si="0"/>
        <v>97.59</v>
      </c>
    </row>
    <row r="16" spans="1:10" ht="39.950000000000003" customHeight="1" x14ac:dyDescent="0.25">
      <c r="A16" s="10">
        <f t="shared" si="1"/>
        <v>12</v>
      </c>
      <c r="B16" s="14">
        <v>39.83</v>
      </c>
      <c r="C16" s="14">
        <f t="shared" si="2"/>
        <v>0.67000000000000171</v>
      </c>
      <c r="D16" s="228"/>
      <c r="E16" s="546" t="s">
        <v>423</v>
      </c>
      <c r="F16" s="546"/>
      <c r="G16" s="11">
        <f t="shared" si="0"/>
        <v>96.92</v>
      </c>
    </row>
    <row r="17" spans="1:9" ht="39.950000000000003" customHeight="1" x14ac:dyDescent="0.25">
      <c r="A17" s="10">
        <f t="shared" si="1"/>
        <v>13</v>
      </c>
      <c r="B17" s="14">
        <v>40.78</v>
      </c>
      <c r="C17" s="14">
        <f t="shared" si="2"/>
        <v>0.95000000000000284</v>
      </c>
      <c r="D17" s="228"/>
      <c r="E17" s="546" t="s">
        <v>422</v>
      </c>
      <c r="F17" s="546"/>
      <c r="G17" s="11">
        <f t="shared" si="0"/>
        <v>95.97</v>
      </c>
    </row>
    <row r="18" spans="1:9" ht="39.950000000000003" customHeight="1" x14ac:dyDescent="0.25">
      <c r="A18" s="10">
        <f t="shared" si="1"/>
        <v>14</v>
      </c>
      <c r="B18" s="14">
        <v>41.61</v>
      </c>
      <c r="C18" s="14">
        <f t="shared" si="2"/>
        <v>0.82999999999999829</v>
      </c>
      <c r="D18" s="400"/>
      <c r="E18" s="546" t="s">
        <v>422</v>
      </c>
      <c r="F18" s="546"/>
      <c r="G18" s="11">
        <f t="shared" si="0"/>
        <v>95.14</v>
      </c>
    </row>
    <row r="19" spans="1:9" ht="39.950000000000003" customHeight="1" x14ac:dyDescent="0.25">
      <c r="A19" s="10">
        <f t="shared" si="1"/>
        <v>15</v>
      </c>
      <c r="B19" s="14">
        <v>43.22</v>
      </c>
      <c r="C19" s="14">
        <f t="shared" si="2"/>
        <v>1.6099999999999994</v>
      </c>
      <c r="D19" s="400"/>
      <c r="E19" s="546" t="s">
        <v>424</v>
      </c>
      <c r="F19" s="546"/>
      <c r="G19" s="11">
        <f t="shared" si="0"/>
        <v>93.53</v>
      </c>
    </row>
    <row r="20" spans="1:9" ht="120" customHeight="1" x14ac:dyDescent="0.35">
      <c r="A20" s="10">
        <f t="shared" si="1"/>
        <v>16</v>
      </c>
      <c r="B20" s="14">
        <v>43.44</v>
      </c>
      <c r="C20" s="14">
        <f t="shared" si="2"/>
        <v>0.21999999999999886</v>
      </c>
      <c r="D20" s="176"/>
      <c r="E20" s="545" t="str">
        <f>ДС3&amp;" Финиш !!!БЕСКОНТАКТНЫЙ!!!"</f>
        <v>ДС-3 РУ Финиш !!!БЕСКОНТАКТНЫЙ!!!</v>
      </c>
      <c r="F20" s="545"/>
      <c r="G20" s="11">
        <f t="shared" si="0"/>
        <v>93.31</v>
      </c>
    </row>
    <row r="21" spans="1:9" ht="120" customHeight="1" x14ac:dyDescent="0.25">
      <c r="A21" s="10">
        <f t="shared" si="1"/>
        <v>17</v>
      </c>
      <c r="B21" s="14">
        <v>46.58</v>
      </c>
      <c r="C21" s="14">
        <f t="shared" si="2"/>
        <v>3.1400000000000006</v>
      </c>
      <c r="D21" s="176"/>
      <c r="E21" s="530"/>
      <c r="F21" s="530"/>
      <c r="G21" s="11">
        <f t="shared" si="0"/>
        <v>90.17</v>
      </c>
    </row>
    <row r="22" spans="1:9" ht="120" customHeight="1" x14ac:dyDescent="0.25">
      <c r="A22" s="10">
        <f t="shared" si="1"/>
        <v>18</v>
      </c>
      <c r="B22" s="14">
        <v>62.55</v>
      </c>
      <c r="C22" s="11">
        <f t="shared" si="2"/>
        <v>15.969999999999999</v>
      </c>
      <c r="D22" s="176"/>
      <c r="E22" s="530"/>
      <c r="F22" s="530"/>
      <c r="G22" s="11">
        <f t="shared" si="0"/>
        <v>74.2</v>
      </c>
    </row>
    <row r="23" spans="1:9" ht="120" customHeight="1" x14ac:dyDescent="0.3">
      <c r="A23" s="10">
        <f t="shared" si="1"/>
        <v>19</v>
      </c>
      <c r="B23" s="14">
        <v>89.23</v>
      </c>
      <c r="C23" s="11">
        <f t="shared" si="2"/>
        <v>26.680000000000007</v>
      </c>
      <c r="D23" s="212"/>
      <c r="E23" s="551" t="str">
        <f>ДС4&amp;" Старт"&amp;CHAR(10)&amp;"Vср=ПДД, но не &gt;25 км/ч"</f>
        <v>ДС-4 РД Старт
Vср=ПДД, но не &gt;25 км/ч</v>
      </c>
      <c r="F23" s="552"/>
      <c r="G23" s="11">
        <f t="shared" si="0"/>
        <v>47.519999999999996</v>
      </c>
    </row>
    <row r="24" spans="1:9" ht="120" customHeight="1" x14ac:dyDescent="0.25">
      <c r="A24" s="10">
        <f t="shared" si="1"/>
        <v>20</v>
      </c>
      <c r="B24" s="14">
        <v>89.9</v>
      </c>
      <c r="C24" s="11">
        <f t="shared" si="2"/>
        <v>0.67000000000000171</v>
      </c>
      <c r="D24" s="214"/>
      <c r="E24" s="530"/>
      <c r="F24" s="530"/>
      <c r="G24" s="11">
        <f t="shared" si="0"/>
        <v>46.849999999999994</v>
      </c>
    </row>
    <row r="25" spans="1:9" ht="120" customHeight="1" x14ac:dyDescent="0.25">
      <c r="A25" s="10">
        <f t="shared" si="1"/>
        <v>21</v>
      </c>
      <c r="B25" s="14">
        <v>90.29</v>
      </c>
      <c r="C25" s="11">
        <f t="shared" si="2"/>
        <v>0.39000000000000057</v>
      </c>
      <c r="D25" s="214"/>
      <c r="E25" s="530"/>
      <c r="F25" s="530"/>
      <c r="G25" s="11">
        <f t="shared" si="0"/>
        <v>46.459999999999994</v>
      </c>
    </row>
    <row r="26" spans="1:9" ht="120" customHeight="1" x14ac:dyDescent="0.25">
      <c r="A26" s="10">
        <f t="shared" si="1"/>
        <v>22</v>
      </c>
      <c r="B26" s="14">
        <v>91.97</v>
      </c>
      <c r="C26" s="11">
        <f t="shared" si="2"/>
        <v>1.6799999999999926</v>
      </c>
      <c r="D26" s="10"/>
      <c r="E26" s="530" t="s">
        <v>284</v>
      </c>
      <c r="F26" s="530"/>
      <c r="G26" s="11">
        <f t="shared" si="0"/>
        <v>44.78</v>
      </c>
      <c r="I26" s="86"/>
    </row>
    <row r="27" spans="1:9" ht="120" customHeight="1" x14ac:dyDescent="0.25">
      <c r="A27" s="10">
        <f t="shared" si="1"/>
        <v>23</v>
      </c>
      <c r="B27" s="194">
        <v>92.39</v>
      </c>
      <c r="C27" s="204">
        <f t="shared" si="2"/>
        <v>0.42000000000000171</v>
      </c>
      <c r="D27" s="10"/>
      <c r="E27" s="530"/>
      <c r="F27" s="530"/>
      <c r="G27" s="204">
        <f t="shared" si="0"/>
        <v>44.36</v>
      </c>
      <c r="I27" s="86"/>
    </row>
    <row r="28" spans="1:9" ht="120" customHeight="1" x14ac:dyDescent="0.25">
      <c r="A28" s="10">
        <f t="shared" si="1"/>
        <v>24</v>
      </c>
      <c r="B28" s="194">
        <v>92.85</v>
      </c>
      <c r="C28" s="204">
        <f t="shared" si="2"/>
        <v>0.45999999999999375</v>
      </c>
      <c r="D28" s="10"/>
      <c r="E28" s="530"/>
      <c r="F28" s="530"/>
      <c r="G28" s="204">
        <f t="shared" si="0"/>
        <v>43.900000000000006</v>
      </c>
      <c r="I28" s="86"/>
    </row>
    <row r="29" spans="1:9" ht="120" customHeight="1" x14ac:dyDescent="0.25">
      <c r="A29" s="10">
        <f t="shared" si="1"/>
        <v>25</v>
      </c>
      <c r="B29" s="194">
        <v>92.88</v>
      </c>
      <c r="C29" s="194">
        <f t="shared" si="2"/>
        <v>3.0000000000001137E-2</v>
      </c>
      <c r="D29" s="10"/>
      <c r="E29" s="530"/>
      <c r="F29" s="530"/>
      <c r="G29" s="194">
        <f t="shared" si="0"/>
        <v>43.870000000000005</v>
      </c>
      <c r="I29" s="86"/>
    </row>
    <row r="30" spans="1:9" ht="120" customHeight="1" x14ac:dyDescent="0.25">
      <c r="A30" s="10">
        <f t="shared" si="1"/>
        <v>26</v>
      </c>
      <c r="B30" s="194">
        <v>93.01</v>
      </c>
      <c r="C30" s="194">
        <f t="shared" si="2"/>
        <v>0.13000000000000966</v>
      </c>
      <c r="D30" s="10"/>
      <c r="E30" s="530"/>
      <c r="F30" s="530"/>
      <c r="G30" s="194">
        <f t="shared" si="0"/>
        <v>43.739999999999995</v>
      </c>
      <c r="I30" s="86"/>
    </row>
    <row r="31" spans="1:9" ht="120" customHeight="1" x14ac:dyDescent="0.25">
      <c r="A31" s="10">
        <f t="shared" si="1"/>
        <v>27</v>
      </c>
      <c r="B31" s="194">
        <v>93.39</v>
      </c>
      <c r="C31" s="166">
        <f t="shared" si="2"/>
        <v>0.37999999999999545</v>
      </c>
      <c r="D31" s="171"/>
      <c r="E31" s="530"/>
      <c r="F31" s="530"/>
      <c r="G31" s="194">
        <f t="shared" si="0"/>
        <v>43.36</v>
      </c>
      <c r="I31" s="86"/>
    </row>
    <row r="32" spans="1:9" ht="120" customHeight="1" x14ac:dyDescent="0.25">
      <c r="A32" s="10">
        <f t="shared" si="1"/>
        <v>28</v>
      </c>
      <c r="B32" s="14">
        <v>93.5</v>
      </c>
      <c r="C32" s="194">
        <f t="shared" si="2"/>
        <v>0.10999999999999943</v>
      </c>
      <c r="D32" s="10"/>
      <c r="E32" s="530"/>
      <c r="F32" s="530"/>
      <c r="G32" s="11">
        <f t="shared" si="0"/>
        <v>43.25</v>
      </c>
      <c r="I32" s="86"/>
    </row>
    <row r="33" spans="1:9" ht="120" customHeight="1" x14ac:dyDescent="0.25">
      <c r="A33" s="10">
        <f t="shared" si="1"/>
        <v>29</v>
      </c>
      <c r="B33" s="14">
        <v>93.53</v>
      </c>
      <c r="C33" s="11">
        <f t="shared" si="2"/>
        <v>3.0000000000001137E-2</v>
      </c>
      <c r="D33" s="10"/>
      <c r="E33" s="530" t="s">
        <v>303</v>
      </c>
      <c r="F33" s="530"/>
      <c r="G33" s="11">
        <f t="shared" si="0"/>
        <v>43.22</v>
      </c>
      <c r="I33" s="86"/>
    </row>
    <row r="34" spans="1:9" ht="120" customHeight="1" x14ac:dyDescent="0.25">
      <c r="A34" s="227"/>
      <c r="B34" s="178"/>
      <c r="C34" s="195"/>
      <c r="D34" s="189"/>
      <c r="E34" s="554"/>
      <c r="F34" s="554"/>
      <c r="G34" s="196"/>
      <c r="I34" s="86"/>
    </row>
    <row r="35" spans="1:9" ht="120" customHeight="1" x14ac:dyDescent="0.25">
      <c r="A35" s="13"/>
      <c r="B35" s="181"/>
      <c r="C35" s="197"/>
      <c r="D35" s="180"/>
      <c r="E35" s="550"/>
      <c r="F35" s="550"/>
      <c r="G35" s="198"/>
      <c r="I35" s="86"/>
    </row>
    <row r="36" spans="1:9" ht="120" customHeight="1" x14ac:dyDescent="0.25">
      <c r="A36" s="13"/>
      <c r="B36" s="181"/>
      <c r="C36" s="197"/>
      <c r="D36" s="180"/>
      <c r="E36" s="550"/>
      <c r="F36" s="550"/>
      <c r="G36" s="198"/>
      <c r="I36" s="86"/>
    </row>
    <row r="37" spans="1:9" ht="120" customHeight="1" x14ac:dyDescent="0.25">
      <c r="A37" s="13"/>
      <c r="B37" s="181"/>
      <c r="C37" s="197"/>
      <c r="D37" s="180"/>
      <c r="E37" s="550"/>
      <c r="F37" s="550"/>
      <c r="G37" s="198"/>
      <c r="I37" s="86"/>
    </row>
    <row r="38" spans="1:9" ht="120" customHeight="1" x14ac:dyDescent="0.25">
      <c r="A38" s="13"/>
      <c r="B38" s="181"/>
      <c r="C38" s="197"/>
      <c r="D38" s="180"/>
      <c r="E38" s="550"/>
      <c r="F38" s="550"/>
      <c r="G38" s="198"/>
      <c r="I38" s="86"/>
    </row>
    <row r="39" spans="1:9" ht="120" customHeight="1" x14ac:dyDescent="0.25">
      <c r="A39" s="193"/>
      <c r="B39" s="183"/>
      <c r="C39" s="199"/>
      <c r="D39" s="191"/>
      <c r="E39" s="553"/>
      <c r="F39" s="553"/>
      <c r="G39" s="200"/>
      <c r="I39" s="86"/>
    </row>
    <row r="40" spans="1:9" ht="120" customHeight="1" x14ac:dyDescent="0.35">
      <c r="A40" s="10">
        <f>1+A33</f>
        <v>30</v>
      </c>
      <c r="B40" s="194">
        <v>102.65</v>
      </c>
      <c r="C40" s="11"/>
      <c r="D40" s="10"/>
      <c r="E40" s="555" t="s">
        <v>291</v>
      </c>
      <c r="F40" s="556"/>
      <c r="G40" s="204">
        <f t="shared" si="0"/>
        <v>34.099999999999994</v>
      </c>
      <c r="I40" s="15" t="s">
        <v>306</v>
      </c>
    </row>
    <row r="41" spans="1:9" ht="120" customHeight="1" x14ac:dyDescent="0.25">
      <c r="A41" s="10">
        <f t="shared" si="1"/>
        <v>31</v>
      </c>
      <c r="B41" s="14">
        <v>129.35</v>
      </c>
      <c r="C41" s="204">
        <f t="shared" si="2"/>
        <v>26.699999999999989</v>
      </c>
      <c r="D41" s="10"/>
      <c r="E41" s="530" t="s">
        <v>285</v>
      </c>
      <c r="F41" s="530"/>
      <c r="G41" s="11">
        <f t="shared" si="0"/>
        <v>7.4000000000000057</v>
      </c>
    </row>
    <row r="42" spans="1:9" ht="120" customHeight="1" x14ac:dyDescent="0.25">
      <c r="A42" s="10">
        <f t="shared" si="1"/>
        <v>32</v>
      </c>
      <c r="B42" s="14">
        <v>131.55000000000001</v>
      </c>
      <c r="C42" s="11">
        <f t="shared" si="2"/>
        <v>2.2000000000000171</v>
      </c>
      <c r="D42" s="10"/>
      <c r="E42" s="547"/>
      <c r="F42" s="547"/>
      <c r="G42" s="11">
        <f t="shared" si="0"/>
        <v>5.1999999999999886</v>
      </c>
    </row>
    <row r="43" spans="1:9" ht="120" customHeight="1" x14ac:dyDescent="0.35">
      <c r="A43" s="10">
        <f t="shared" si="1"/>
        <v>33</v>
      </c>
      <c r="B43" s="14">
        <v>136.75</v>
      </c>
      <c r="C43" s="11">
        <f t="shared" si="2"/>
        <v>5.1999999999999886</v>
      </c>
      <c r="D43" s="10"/>
      <c r="E43" s="545" t="str">
        <f>КВ2</f>
        <v>КВ-2 ПКАД</v>
      </c>
      <c r="F43" s="545"/>
      <c r="G43" s="11">
        <f t="shared" si="0"/>
        <v>0</v>
      </c>
      <c r="I43" s="15" t="s">
        <v>304</v>
      </c>
    </row>
  </sheetData>
  <mergeCells count="43">
    <mergeCell ref="E39:F39"/>
    <mergeCell ref="E19:F19"/>
    <mergeCell ref="E18:F18"/>
    <mergeCell ref="E43:F43"/>
    <mergeCell ref="E28:F28"/>
    <mergeCell ref="E29:F29"/>
    <mergeCell ref="E30:F30"/>
    <mergeCell ref="E32:F32"/>
    <mergeCell ref="E33:F33"/>
    <mergeCell ref="E34:F34"/>
    <mergeCell ref="E40:F40"/>
    <mergeCell ref="E41:F41"/>
    <mergeCell ref="E35:F35"/>
    <mergeCell ref="E36:F36"/>
    <mergeCell ref="E31:F31"/>
    <mergeCell ref="E42:F42"/>
    <mergeCell ref="E14:F14"/>
    <mergeCell ref="E15:F15"/>
    <mergeCell ref="E16:F16"/>
    <mergeCell ref="E25:F25"/>
    <mergeCell ref="E27:F27"/>
    <mergeCell ref="E23:F23"/>
    <mergeCell ref="E20:F20"/>
    <mergeCell ref="E21:F21"/>
    <mergeCell ref="E22:F22"/>
    <mergeCell ref="E26:F26"/>
    <mergeCell ref="E24:F24"/>
    <mergeCell ref="E38:F38"/>
    <mergeCell ref="D1:E1"/>
    <mergeCell ref="D2:E2"/>
    <mergeCell ref="D3:E3"/>
    <mergeCell ref="E4:F4"/>
    <mergeCell ref="E5:F5"/>
    <mergeCell ref="E6:F6"/>
    <mergeCell ref="E17:F17"/>
    <mergeCell ref="E7:F7"/>
    <mergeCell ref="E8:F8"/>
    <mergeCell ref="E9:F9"/>
    <mergeCell ref="E10:F10"/>
    <mergeCell ref="E11:F11"/>
    <mergeCell ref="E37:F37"/>
    <mergeCell ref="E12:F12"/>
    <mergeCell ref="E13:F13"/>
  </mergeCells>
  <pageMargins left="0.39370078740157483" right="0.39370078740157483" top="0.39370078740157483" bottom="0.39370078740157483" header="0" footer="0.39370078740157483"/>
  <pageSetup paperSize="9" firstPageNumber="3" orientation="portrait" r:id="rId1"/>
  <headerFooter differentFirst="1">
    <oddFooter>Страница  &amp;P из &amp;N</oddFooter>
  </headerFooter>
  <rowBreaks count="1" manualBreakCount="1">
    <brk id="3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38</vt:i4>
      </vt:variant>
      <vt:variant>
        <vt:lpstr>Именованные диапазоны</vt:lpstr>
      </vt:variant>
      <vt:variant>
        <vt:i4>97</vt:i4>
      </vt:variant>
    </vt:vector>
  </HeadingPairs>
  <TitlesOfParts>
    <vt:vector size="135" baseType="lpstr">
      <vt:lpstr>Восточная</vt:lpstr>
      <vt:lpstr>Северная</vt:lpstr>
      <vt:lpstr>Южная</vt:lpstr>
      <vt:lpstr>Маршрутный лист</vt:lpstr>
      <vt:lpstr>Контрольная карта</vt:lpstr>
      <vt:lpstr>ДК титул Про</vt:lpstr>
      <vt:lpstr>Легенда Про</vt:lpstr>
      <vt:lpstr>КВ0-КВ1 Про</vt:lpstr>
      <vt:lpstr>КВ1-КВ2 Про</vt:lpstr>
      <vt:lpstr>КВ2-КВ3 Про</vt:lpstr>
      <vt:lpstr>ДК титул лайт</vt:lpstr>
      <vt:lpstr>Легенда Лайт</vt:lpstr>
      <vt:lpstr>КВ0-КВ1 Лайт</vt:lpstr>
      <vt:lpstr>КВ1-КВ2 Лайт</vt:lpstr>
      <vt:lpstr>КВ2-КВ3 Лайт</vt:lpstr>
      <vt:lpstr>Заявка</vt:lpstr>
      <vt:lpstr>Заявки А3</vt:lpstr>
      <vt:lpstr>Стартовый протокол</vt:lpstr>
      <vt:lpstr>Протоколы ТИ</vt:lpstr>
      <vt:lpstr>Протоколы КВ старт</vt:lpstr>
      <vt:lpstr>Протоколы КВ</vt:lpstr>
      <vt:lpstr>Протоколы ВКП</vt:lpstr>
      <vt:lpstr>Протоколы ВКВ</vt:lpstr>
      <vt:lpstr>Протоколы РУ РД старт с отметко</vt:lpstr>
      <vt:lpstr>Протоколы РУ финиш</vt:lpstr>
      <vt:lpstr>Протоколы РД финиш</vt:lpstr>
      <vt:lpstr>Протоколы СЛ</vt:lpstr>
      <vt:lpstr>Общее</vt:lpstr>
      <vt:lpstr>Подсчет результатов ралли (2)</vt:lpstr>
      <vt:lpstr>Подсчет результатов ралли</vt:lpstr>
      <vt:lpstr>ДС-1 РД</vt:lpstr>
      <vt:lpstr>ДС-4 РД</vt:lpstr>
      <vt:lpstr>ДС-5 РД</vt:lpstr>
      <vt:lpstr>Замена РК Про</vt:lpstr>
      <vt:lpstr>Протоколы РУ РД старт без отмет</vt:lpstr>
      <vt:lpstr>Стр x А3</vt:lpstr>
      <vt:lpstr>КВ0-КВ1 Про (2)</vt:lpstr>
      <vt:lpstr>КВ2-КВ3 Про (2)</vt:lpstr>
      <vt:lpstr>ВКВ1</vt:lpstr>
      <vt:lpstr>ВКВ1Расстояние</vt:lpstr>
      <vt:lpstr>ВКП1</vt:lpstr>
      <vt:lpstr>ВосточнаяРасстояние</vt:lpstr>
      <vt:lpstr>ВремяВсего</vt:lpstr>
      <vt:lpstr>ВремяЗакрытияПостов</vt:lpstr>
      <vt:lpstr>ВремяОткрытияПостов</vt:lpstr>
      <vt:lpstr>ВремяСтарта</vt:lpstr>
      <vt:lpstr>ДатаРалли</vt:lpstr>
      <vt:lpstr>ДС1</vt:lpstr>
      <vt:lpstr>ДС1Время</vt:lpstr>
      <vt:lpstr>ДС2</vt:lpstr>
      <vt:lpstr>ДС2Время</vt:lpstr>
      <vt:lpstr>ДС2Мин</vt:lpstr>
      <vt:lpstr>ДС2Расстояние</vt:lpstr>
      <vt:lpstr>ДС3</vt:lpstr>
      <vt:lpstr>ДС3Время</vt:lpstr>
      <vt:lpstr>ДС3Мин</vt:lpstr>
      <vt:lpstr>ДС3Расстояние</vt:lpstr>
      <vt:lpstr>ДС4</vt:lpstr>
      <vt:lpstr>ДС4Время</vt:lpstr>
      <vt:lpstr>ДС5</vt:lpstr>
      <vt:lpstr>ДС5Время</vt:lpstr>
      <vt:lpstr>ДС6</vt:lpstr>
      <vt:lpstr>Восточная!Заголовки_для_печати</vt:lpstr>
      <vt:lpstr>'Заявки А3'!Заголовки_для_печати</vt:lpstr>
      <vt:lpstr>'КВ0-КВ1 Лайт'!Заголовки_для_печати</vt:lpstr>
      <vt:lpstr>'КВ0-КВ1 Про'!Заголовки_для_печати</vt:lpstr>
      <vt:lpstr>'КВ0-КВ1 Про (2)'!Заголовки_для_печати</vt:lpstr>
      <vt:lpstr>'КВ1-КВ2 Лайт'!Заголовки_для_печати</vt:lpstr>
      <vt:lpstr>'КВ1-КВ2 Про'!Заголовки_для_печати</vt:lpstr>
      <vt:lpstr>'КВ2-КВ3 Лайт'!Заголовки_для_печати</vt:lpstr>
      <vt:lpstr>'КВ2-КВ3 Про'!Заголовки_для_печати</vt:lpstr>
      <vt:lpstr>'КВ2-КВ3 Про (2)'!Заголовки_для_печати</vt:lpstr>
      <vt:lpstr>Северная!Заголовки_для_печати</vt:lpstr>
      <vt:lpstr>'Стартовый протокол'!Заголовки_для_печати</vt:lpstr>
      <vt:lpstr>Южная!Заголовки_для_печати</vt:lpstr>
      <vt:lpstr>ЗадержкаНаКВ</vt:lpstr>
      <vt:lpstr>КВ0</vt:lpstr>
      <vt:lpstr>КВ1</vt:lpstr>
      <vt:lpstr>КВ1Время</vt:lpstr>
      <vt:lpstr>КВ1Расстояние</vt:lpstr>
      <vt:lpstr>КВ1Скорость</vt:lpstr>
      <vt:lpstr>КВ2</vt:lpstr>
      <vt:lpstr>КВ2Время</vt:lpstr>
      <vt:lpstr>КВ2Расстояние</vt:lpstr>
      <vt:lpstr>КВ2Скорость</vt:lpstr>
      <vt:lpstr>КВ3</vt:lpstr>
      <vt:lpstr>КВ3Время</vt:lpstr>
      <vt:lpstr>КВ3Расстояние</vt:lpstr>
      <vt:lpstr>КВ3Скорость</vt:lpstr>
      <vt:lpstr>НазваниеКраткое</vt:lpstr>
      <vt:lpstr>НазваниеПолное</vt:lpstr>
      <vt:lpstr>'ДК титул Про'!Область_печати</vt:lpstr>
      <vt:lpstr>'Замена РК Про'!Область_печати</vt:lpstr>
      <vt:lpstr>'КВ0-КВ1 Лайт'!Область_печати</vt:lpstr>
      <vt:lpstr>'КВ0-КВ1 Про'!Область_печати</vt:lpstr>
      <vt:lpstr>'КВ1-КВ2 Лайт'!Область_печати</vt:lpstr>
      <vt:lpstr>'КВ1-КВ2 Про'!Область_печати</vt:lpstr>
      <vt:lpstr>'КВ2-КВ3 Лайт'!Область_печати</vt:lpstr>
      <vt:lpstr>'КВ2-КВ3 Про'!Область_печати</vt:lpstr>
      <vt:lpstr>'КВ2-КВ3 Про (2)'!Область_печати</vt:lpstr>
      <vt:lpstr>'Маршрутный лист'!Область_печати</vt:lpstr>
      <vt:lpstr>'Подсчет результатов ралли'!Область_печати</vt:lpstr>
      <vt:lpstr>'Подсчет результатов ралли (2)'!Область_печати</vt:lpstr>
      <vt:lpstr>'Протоколы ВКВ'!Область_печати</vt:lpstr>
      <vt:lpstr>'Протоколы ВКП'!Область_печати</vt:lpstr>
      <vt:lpstr>'Протоколы КВ'!Область_печати</vt:lpstr>
      <vt:lpstr>'Протоколы КВ старт'!Область_печати</vt:lpstr>
      <vt:lpstr>'Протоколы РД финиш'!Область_печати</vt:lpstr>
      <vt:lpstr>'Протоколы РУ РД старт без отмет'!Область_печати</vt:lpstr>
      <vt:lpstr>'Протоколы РУ РД старт с отметко'!Область_печати</vt:lpstr>
      <vt:lpstr>'Протоколы РУ финиш'!Область_печати</vt:lpstr>
      <vt:lpstr>'Протоколы СЛ'!Область_печати</vt:lpstr>
      <vt:lpstr>'Протоколы ТИ'!Область_печати</vt:lpstr>
      <vt:lpstr>РасстояниеВсего</vt:lpstr>
      <vt:lpstr>СевернаяРасстояние</vt:lpstr>
      <vt:lpstr>СЛКоэффициент</vt:lpstr>
      <vt:lpstr>ТИ0</vt:lpstr>
      <vt:lpstr>ЧислоЭкипажей</vt:lpstr>
      <vt:lpstr>ШтрафБуква</vt:lpstr>
      <vt:lpstr>ШтрафВскрытыйКонверт</vt:lpstr>
      <vt:lpstr>ШтрафНеостановкаБазойНаСЛ</vt:lpstr>
      <vt:lpstr>ШтрафОпережениеНаВКВ</vt:lpstr>
      <vt:lpstr>ШтрафОпережениеНаКВ</vt:lpstr>
      <vt:lpstr>ШтрафОпережениеНаРУ</vt:lpstr>
      <vt:lpstr>ШтрафОпережениеОтставаниеНаРД</vt:lpstr>
      <vt:lpstr>ШтрафОпозданиеНаКВ</vt:lpstr>
      <vt:lpstr>ШтрафОтставаниеНаРУ</vt:lpstr>
      <vt:lpstr>ШтрафОтсутсвиеОтметкиНаВКВ</vt:lpstr>
      <vt:lpstr>ШтрафПроездСЛНеПоСхеме</vt:lpstr>
      <vt:lpstr>ШтрафПропускКВ</vt:lpstr>
      <vt:lpstr>ШтрафПропускКП</vt:lpstr>
      <vt:lpstr>ШтрафПропускФКП</vt:lpstr>
      <vt:lpstr>ШтрафСбитыйКонусНаСЛ</vt:lpstr>
      <vt:lpstr>ШтрафФальстартНаДС</vt:lpstr>
      <vt:lpstr>ЮжнаяРасстояние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Светлана Жбанова</cp:lastModifiedBy>
  <cp:lastPrinted>2017-11-25T16:17:52Z</cp:lastPrinted>
  <dcterms:created xsi:type="dcterms:W3CDTF">2016-06-12T22:47:51Z</dcterms:created>
  <dcterms:modified xsi:type="dcterms:W3CDTF">2017-11-26T18:30:08Z</dcterms:modified>
</cp:coreProperties>
</file>